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ullambert/Downloads/"/>
    </mc:Choice>
  </mc:AlternateContent>
  <xr:revisionPtr revIDLastSave="0" documentId="8_{981742BF-7F78-D343-8709-3381DEB6E2FA}" xr6:coauthVersionLast="47" xr6:coauthVersionMax="47" xr10:uidLastSave="{00000000-0000-0000-0000-000000000000}"/>
  <workbookProtection workbookAlgorithmName="SHA-512" workbookHashValue="inmSYMcaTCo3XsfOrKutTbpx9sO+MsYMh6mc7mIhYAKk6DhsQu258hQOqeM+8i5u0Ddb4kfPvuqtYM05IGExKg==" workbookSaltValue="ty2wtfNl9scuj8u/7zU6gg==" workbookSpinCount="100000" lockStructure="1"/>
  <bookViews>
    <workbookView xWindow="0" yWindow="860" windowWidth="38100" windowHeight="24000" xr2:uid="{00000000-000D-0000-FFFF-FFFF00000000}"/>
  </bookViews>
  <sheets>
    <sheet name="Sheet1 - Table 1" sheetId="1" r:id="rId1"/>
  </sheets>
  <definedNames>
    <definedName name="CameraModel">'Sheet1 - Table 1'!$E$24:$G$25</definedName>
    <definedName name="List">'Sheet1 - Table 1'!$O$17:$O$20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8" i="1" l="1"/>
  <c r="AM7" i="1"/>
  <c r="AM6" i="1"/>
  <c r="AM5" i="1"/>
  <c r="AK8" i="1"/>
  <c r="AK7" i="1"/>
  <c r="AK6" i="1"/>
  <c r="AK5" i="1"/>
  <c r="AM4" i="1"/>
  <c r="AK4" i="1"/>
  <c r="AM9" i="1"/>
  <c r="AK9" i="1"/>
  <c r="AD9" i="1"/>
  <c r="J2" i="1"/>
  <c r="AK13" i="1" l="1"/>
  <c r="N5" i="1"/>
  <c r="J3" i="1"/>
  <c r="AD8" i="1"/>
  <c r="AI8" i="1" s="1"/>
  <c r="J4" i="1"/>
  <c r="J7" i="1"/>
  <c r="J5" i="1"/>
  <c r="J6" i="1"/>
  <c r="O7" i="1"/>
  <c r="N7" i="1" s="1"/>
  <c r="AH10" i="1"/>
  <c r="AH9" i="1"/>
  <c r="O6" i="1"/>
  <c r="O5" i="1" s="1"/>
  <c r="AD10" i="1"/>
  <c r="AF10" i="1" s="1"/>
  <c r="AI10" i="1" s="1"/>
  <c r="AF9" i="1"/>
  <c r="AI9" i="1" s="1"/>
  <c r="S12" i="1"/>
  <c r="T12" i="1" s="1"/>
  <c r="S13" i="1"/>
  <c r="T13" i="1" s="1"/>
  <c r="U14" i="1"/>
  <c r="U15" i="1" s="1"/>
  <c r="U16" i="1" s="1"/>
  <c r="U17" i="1" s="1"/>
  <c r="U18" i="1" s="1"/>
  <c r="U19" i="1" s="1"/>
  <c r="U23" i="1" s="1"/>
  <c r="U24" i="1" s="1"/>
  <c r="U25" i="1" s="1"/>
  <c r="W16" i="1"/>
  <c r="W18" i="1" s="1"/>
  <c r="W23" i="1" s="1"/>
  <c r="W25" i="1" s="1"/>
  <c r="S19" i="1"/>
  <c r="T19" i="1" s="1"/>
  <c r="S23" i="1"/>
  <c r="T23" i="1" s="1"/>
  <c r="U26" i="1"/>
  <c r="U27" i="1" s="1"/>
  <c r="U28" i="1" s="1"/>
  <c r="U29" i="1" s="1"/>
  <c r="U30" i="1" s="1"/>
  <c r="W26" i="1"/>
  <c r="W28" i="1" s="1"/>
  <c r="W30" i="1" s="1"/>
  <c r="AF11" i="1" l="1"/>
  <c r="AC26" i="1"/>
  <c r="AC25" i="1"/>
  <c r="AI11" i="1"/>
  <c r="AI12" i="1"/>
  <c r="S21" i="1"/>
  <c r="D8" i="1"/>
  <c r="AD11" i="1"/>
  <c r="N6" i="1"/>
  <c r="S17" i="1"/>
  <c r="AG12" i="1"/>
  <c r="AF12" i="1"/>
  <c r="K11" i="1" s="1"/>
  <c r="K14" i="1" s="1"/>
  <c r="AG11" i="1"/>
  <c r="AD12" i="1"/>
  <c r="AH8" i="1"/>
  <c r="N10" i="1" s="1"/>
  <c r="AK14" i="1" s="1"/>
  <c r="N4" i="1"/>
  <c r="O4" i="1"/>
  <c r="AH11" i="1"/>
  <c r="T17" i="1"/>
  <c r="AH12" i="1"/>
  <c r="S14" i="1"/>
  <c r="S24" i="1"/>
  <c r="T24" i="1" s="1"/>
  <c r="T25" i="1" s="1"/>
  <c r="AG10" i="1"/>
  <c r="AC24" i="1" s="1"/>
  <c r="AG8" i="1"/>
  <c r="M10" i="1" s="1"/>
  <c r="AG9" i="1"/>
  <c r="AC23" i="1" s="1"/>
  <c r="J10" i="1"/>
  <c r="AF8" i="1"/>
  <c r="K10" i="1" s="1"/>
  <c r="L10" i="1"/>
  <c r="O11" i="1" l="1"/>
  <c r="O10" i="1"/>
  <c r="O13" i="1"/>
  <c r="O14" i="1"/>
  <c r="L12" i="1"/>
  <c r="O12" i="1"/>
  <c r="N2" i="1"/>
  <c r="N3" i="1"/>
  <c r="O3" i="1"/>
  <c r="L11" i="1"/>
  <c r="L14" i="1" s="1"/>
  <c r="M11" i="1"/>
  <c r="M14" i="1" s="1"/>
  <c r="J11" i="1"/>
  <c r="J14" i="1" s="1"/>
  <c r="N11" i="1"/>
  <c r="N13" i="1" s="1"/>
  <c r="N12" i="1"/>
  <c r="K12" i="1"/>
  <c r="M12" i="1"/>
  <c r="J12" i="1"/>
  <c r="K13" i="1"/>
  <c r="S25" i="1"/>
  <c r="T14" i="1"/>
  <c r="T15" i="1" s="1"/>
  <c r="T16" i="1" s="1"/>
  <c r="S15" i="1"/>
  <c r="S16" i="1" s="1"/>
  <c r="L13" i="1" l="1"/>
  <c r="M13" i="1"/>
  <c r="J13" i="1"/>
  <c r="N14" i="1"/>
</calcChain>
</file>

<file path=xl/sharedStrings.xml><?xml version="1.0" encoding="utf-8"?>
<sst xmlns="http://schemas.openxmlformats.org/spreadsheetml/2006/main" count="160" uniqueCount="98">
  <si>
    <t>Zoom%</t>
  </si>
  <si>
    <t>EL2K</t>
  </si>
  <si>
    <t>EL2K-HR</t>
  </si>
  <si>
    <t>Fusion</t>
  </si>
  <si>
    <t>Fusion-Flex</t>
  </si>
  <si>
    <t>Pro</t>
  </si>
  <si>
    <t>Pro-DZ</t>
  </si>
  <si>
    <t>Vision</t>
  </si>
  <si>
    <t>5L200:</t>
  </si>
  <si>
    <t>Zoom</t>
  </si>
  <si>
    <t>Density</t>
  </si>
  <si>
    <t>km/h</t>
  </si>
  <si>
    <t>n/a</t>
  </si>
  <si>
    <t>5L600:</t>
  </si>
  <si>
    <t>5L300</t>
  </si>
  <si>
    <r>
      <rPr>
        <sz val="12"/>
        <color rgb="FFFF0000"/>
        <rFont val="Arial"/>
        <family val="2"/>
      </rPr>
      <t>A</t>
    </r>
    <r>
      <rPr>
        <sz val="12"/>
        <rFont val="Arial"/>
        <family val="2"/>
      </rPr>
      <t xml:space="preserve"> =</t>
    </r>
  </si>
  <si>
    <t>m</t>
  </si>
  <si>
    <t>mm</t>
  </si>
  <si>
    <t>5L500:</t>
  </si>
  <si>
    <t>B =</t>
  </si>
  <si>
    <t>5L400:</t>
  </si>
  <si>
    <t>EtherLynx 2000 - 5L200</t>
  </si>
  <si>
    <t>C =</t>
  </si>
  <si>
    <t>5L300:</t>
  </si>
  <si>
    <t>EtherLynx Pro - 5L300</t>
  </si>
  <si>
    <t>D =</t>
  </si>
  <si>
    <t xml:space="preserve">  Angle of visible range         =</t>
  </si>
  <si>
    <t>°</t>
  </si>
  <si>
    <t>Fusion Flex - 5L400</t>
  </si>
  <si>
    <t xml:space="preserve">  Max. pan angle (minutes)   =</t>
  </si>
  <si>
    <t>'</t>
  </si>
  <si>
    <t xml:space="preserve"> Vision - 5L500</t>
  </si>
  <si>
    <t>5L200</t>
  </si>
  <si>
    <t>5L400</t>
  </si>
  <si>
    <t>5L500</t>
  </si>
  <si>
    <t>5L600</t>
  </si>
  <si>
    <t xml:space="preserve">  Distance to subject            =</t>
  </si>
  <si>
    <t xml:space="preserve"> Vision Pro - 5L600</t>
  </si>
  <si>
    <t>|</t>
  </si>
  <si>
    <t xml:space="preserve">  Near side frame rate          =</t>
  </si>
  <si>
    <t>fps</t>
  </si>
  <si>
    <t>lps</t>
  </si>
  <si>
    <t xml:space="preserve">  Far side frame rate            =</t>
  </si>
  <si>
    <t>Camera Elevation Angle =</t>
  </si>
  <si>
    <t>deg</t>
  </si>
  <si>
    <t>angle of visible range</t>
  </si>
  <si>
    <t>Rate</t>
  </si>
  <si>
    <t>angle of subject on far side</t>
  </si>
  <si>
    <t>percentage of pixels used</t>
  </si>
  <si>
    <t>pixels representing subject</t>
  </si>
  <si>
    <t>| D</t>
  </si>
  <si>
    <t>mm/pixel</t>
  </si>
  <si>
    <t>frame rate for far side</t>
  </si>
  <si>
    <t>-------------------------------------------------</t>
  </si>
  <si>
    <t>+</t>
  </si>
  <si>
    <t>angle of subject on near side</t>
  </si>
  <si>
    <t>px</t>
  </si>
  <si>
    <t>Mpx/sec</t>
  </si>
  <si>
    <t>.001 sec</t>
  </si>
  <si>
    <t>Height</t>
  </si>
  <si>
    <r>
      <t>--&gt;&lt;-</t>
    </r>
    <r>
      <rPr>
        <b/>
        <sz val="12"/>
        <color rgb="FF00B050"/>
        <rFont val="Arial"/>
        <family val="2"/>
      </rPr>
      <t>-----------------</t>
    </r>
  </si>
  <si>
    <t xml:space="preserve">         &lt;------</t>
  </si>
  <si>
    <t>B</t>
  </si>
  <si>
    <t>C----------------&gt;</t>
  </si>
  <si>
    <t>m/s</t>
  </si>
  <si>
    <t>Lens and Scan Rate Calculator</t>
  </si>
  <si>
    <t>Camera Height:</t>
  </si>
  <si>
    <t>Distance to Track:</t>
  </si>
  <si>
    <t>Track Width:</t>
  </si>
  <si>
    <t>Height at lane 0:</t>
  </si>
  <si>
    <t>Vision Pro Sensor - 5L600  =</t>
  </si>
  <si>
    <t>Vision Sensor - 5L500  =</t>
  </si>
  <si>
    <t>Fusion Flex Sensor - 5L400  =</t>
  </si>
  <si>
    <t>EtherLynx Pro - Sensor - 5L300  =</t>
  </si>
  <si>
    <t>EtherLynx 2000 Sensor - 5L200  =</t>
  </si>
  <si>
    <t xml:space="preserve">       Lens Equivalency Calculation</t>
  </si>
  <si>
    <t>Therefore:</t>
  </si>
  <si>
    <t>Recommended Lens =</t>
  </si>
  <si>
    <t>Recommended Scan Rate =</t>
  </si>
  <si>
    <t>Height of Competitor =</t>
  </si>
  <si>
    <t>Image Resolution =</t>
  </si>
  <si>
    <t>Height of Camera</t>
  </si>
  <si>
    <t>Horizontal Distance from Track</t>
  </si>
  <si>
    <t xml:space="preserve">     |     Track Width</t>
  </si>
  <si>
    <t>Select Camera</t>
  </si>
  <si>
    <t>Lens to compare</t>
  </si>
  <si>
    <t>Height of Competitor:</t>
  </si>
  <si>
    <t>Distance from Competitor:</t>
  </si>
  <si>
    <t>% of Sensor Height:</t>
  </si>
  <si>
    <t>Time Resolution per pixel =</t>
  </si>
  <si>
    <t>5L700:</t>
  </si>
  <si>
    <t>Vision Pro Sensor - 5L700  =</t>
  </si>
  <si>
    <t>5L700</t>
  </si>
  <si>
    <t xml:space="preserve"> Vision Pro - 5L700</t>
  </si>
  <si>
    <t>Position on Track:</t>
  </si>
  <si>
    <t>| A</t>
  </si>
  <si>
    <t>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</si>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</sst>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);\(#,##0.0\)"/>
    <numFmt numFmtId="165" formatCode="0.0%"/>
    <numFmt numFmtId="166" formatCode="0.0"/>
    <numFmt numFmtId="168" formatCode="[&lt;=9999999]###\-####;###\-###\-####"/>
    <numFmt numFmtId="169" formatCode="0\˚"/>
  </numFmts>
  <fonts count="39" x14ac:knownFonts="1">
    <font>
      <sz val="11"/>
      <color indexed="8"/>
      <name val="Helvetica Neue"/>
    </font>
    <font>
      <sz val="10"/>
      <color indexed="9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sz val="11"/>
      <name val="Helvetica Neue"/>
      <family val="2"/>
    </font>
    <font>
      <sz val="10"/>
      <name val="Geneva"/>
      <family val="2"/>
    </font>
    <font>
      <sz val="12"/>
      <color rgb="FF00B05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4"/>
      <name val="Arial"/>
      <family val="2"/>
    </font>
    <font>
      <sz val="12"/>
      <color rgb="FF002060"/>
      <name val="Arial"/>
      <family val="2"/>
    </font>
    <font>
      <sz val="12"/>
      <color rgb="FF00B050"/>
      <name val="Arial"/>
      <family val="2"/>
    </font>
    <font>
      <u/>
      <sz val="11"/>
      <color theme="10"/>
      <name val="Helvetica Neue"/>
      <family val="2"/>
    </font>
    <font>
      <u/>
      <sz val="11"/>
      <color theme="11"/>
      <name val="Helvetica Neue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2"/>
      <color rgb="FF002060"/>
      <name val="Arial"/>
      <family val="2"/>
    </font>
    <font>
      <sz val="12"/>
      <name val="Arial"/>
      <family val="2"/>
    </font>
    <font>
      <sz val="12"/>
      <color rgb="FF006100"/>
      <name val="Arial"/>
      <family val="2"/>
    </font>
    <font>
      <sz val="12"/>
      <color theme="4"/>
      <name val="Arial"/>
      <family val="2"/>
    </font>
    <font>
      <b/>
      <u/>
      <sz val="14"/>
      <name val="Arial"/>
      <family val="2"/>
    </font>
    <font>
      <sz val="12"/>
      <color rgb="FFFF0000"/>
      <name val="Arial"/>
      <family val="2"/>
    </font>
    <font>
      <b/>
      <sz val="14"/>
      <color indexed="9"/>
      <name val="Arial"/>
      <family val="2"/>
    </font>
    <font>
      <b/>
      <sz val="14"/>
      <color rgb="FF00B050"/>
      <name val="Arial"/>
      <family val="2"/>
    </font>
    <font>
      <sz val="11"/>
      <color rgb="FFFF0000"/>
      <name val="Arial"/>
      <family val="2"/>
    </font>
    <font>
      <b/>
      <sz val="12"/>
      <color theme="4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2"/>
      <color rgb="FF7030A0"/>
      <name val="Arial"/>
      <family val="2"/>
    </font>
    <font>
      <b/>
      <sz val="12"/>
      <color rgb="FF7030A0"/>
      <name val="Arial"/>
      <family val="2"/>
    </font>
    <font>
      <sz val="12"/>
      <color rgb="FF0070C0"/>
      <name val="Arial"/>
      <family val="2"/>
    </font>
    <font>
      <sz val="12"/>
      <color rgb="FF002060"/>
      <name val="Arial"/>
      <family val="2"/>
    </font>
    <font>
      <sz val="8"/>
      <name val="Helvetica Neue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ck">
        <color theme="9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theme="9"/>
      </left>
      <right style="thick">
        <color theme="9"/>
      </right>
      <top/>
      <bottom style="thick">
        <color theme="9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9"/>
      </left>
      <right style="thick">
        <color theme="9"/>
      </right>
      <top style="medium">
        <color theme="9"/>
      </top>
      <bottom style="thick">
        <color theme="9"/>
      </bottom>
      <diagonal/>
    </border>
  </borders>
  <cellStyleXfs count="38">
    <xf numFmtId="0" fontId="0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4" fillId="4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</cellStyleXfs>
  <cellXfs count="161">
    <xf numFmtId="0" fontId="0" fillId="0" borderId="0" xfId="0" applyAlignment="1"/>
    <xf numFmtId="0" fontId="1" fillId="0" borderId="0" xfId="0" applyNumberFormat="1" applyFont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hidden="1"/>
    </xf>
    <xf numFmtId="0" fontId="1" fillId="0" borderId="0" xfId="0" applyNumberFormat="1" applyFont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vertical="center"/>
      <protection hidden="1"/>
    </xf>
    <xf numFmtId="0" fontId="2" fillId="2" borderId="0" xfId="0" applyNumberFormat="1" applyFont="1" applyFill="1" applyBorder="1" applyAlignment="1" applyProtection="1">
      <alignment vertical="center"/>
      <protection hidden="1"/>
    </xf>
    <xf numFmtId="2" fontId="2" fillId="2" borderId="0" xfId="0" applyNumberFormat="1" applyFont="1" applyFill="1" applyBorder="1" applyAlignment="1" applyProtection="1">
      <alignment vertical="center"/>
      <protection hidden="1"/>
    </xf>
    <xf numFmtId="2" fontId="3" fillId="2" borderId="0" xfId="0" applyNumberFormat="1" applyFont="1" applyFill="1" applyBorder="1" applyAlignment="1" applyProtection="1">
      <alignment vertical="center"/>
      <protection hidden="1"/>
    </xf>
    <xf numFmtId="0" fontId="3" fillId="2" borderId="0" xfId="0" applyNumberFormat="1" applyFont="1" applyFill="1" applyBorder="1" applyAlignment="1" applyProtection="1">
      <alignment vertical="center"/>
      <protection hidden="1"/>
    </xf>
    <xf numFmtId="165" fontId="2" fillId="2" borderId="0" xfId="0" applyNumberFormat="1" applyFont="1" applyFill="1" applyBorder="1" applyAlignment="1" applyProtection="1">
      <alignment vertical="center"/>
      <protection hidden="1"/>
    </xf>
    <xf numFmtId="165" fontId="3" fillId="2" borderId="0" xfId="0" applyNumberFormat="1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Border="1" applyAlignment="1" applyProtection="1">
      <alignment vertical="center"/>
      <protection hidden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  <protection hidden="1"/>
    </xf>
    <xf numFmtId="0" fontId="7" fillId="2" borderId="0" xfId="0" applyNumberFormat="1" applyFont="1" applyFill="1" applyBorder="1" applyAlignment="1" applyProtection="1">
      <alignment vertical="center"/>
      <protection hidden="1"/>
    </xf>
    <xf numFmtId="0" fontId="8" fillId="0" borderId="0" xfId="0" applyNumberFormat="1" applyFont="1" applyBorder="1" applyAlignment="1" applyProtection="1">
      <alignment vertical="center"/>
      <protection hidden="1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left" vertical="center"/>
      <protection hidden="1"/>
    </xf>
    <xf numFmtId="0" fontId="7" fillId="2" borderId="0" xfId="0" applyNumberFormat="1" applyFont="1" applyFill="1" applyBorder="1" applyAlignment="1" applyProtection="1">
      <alignment horizontal="right" vertical="center"/>
      <protection hidden="1"/>
    </xf>
    <xf numFmtId="37" fontId="7" fillId="2" borderId="0" xfId="0" applyNumberFormat="1" applyFont="1" applyFill="1" applyBorder="1" applyAlignment="1" applyProtection="1">
      <alignment vertical="center"/>
      <protection hidden="1"/>
    </xf>
    <xf numFmtId="37" fontId="7" fillId="2" borderId="0" xfId="0" applyNumberFormat="1" applyFont="1" applyFill="1" applyBorder="1" applyAlignment="1" applyProtection="1">
      <alignment horizontal="right" vertical="center"/>
      <protection hidden="1"/>
    </xf>
    <xf numFmtId="39" fontId="7" fillId="2" borderId="0" xfId="0" applyNumberFormat="1" applyFont="1" applyFill="1" applyBorder="1" applyAlignment="1" applyProtection="1">
      <alignment vertical="center"/>
      <protection hidden="1"/>
    </xf>
    <xf numFmtId="39" fontId="7" fillId="2" borderId="0" xfId="0" applyNumberFormat="1" applyFont="1" applyFill="1" applyBorder="1" applyAlignment="1" applyProtection="1">
      <alignment horizontal="right" vertical="center"/>
      <protection hidden="1"/>
    </xf>
    <xf numFmtId="1" fontId="7" fillId="2" borderId="0" xfId="0" applyNumberFormat="1" applyFont="1" applyFill="1" applyBorder="1" applyAlignment="1" applyProtection="1">
      <alignment vertical="center"/>
      <protection hidden="1"/>
    </xf>
    <xf numFmtId="9" fontId="7" fillId="2" borderId="0" xfId="0" applyNumberFormat="1" applyFont="1" applyFill="1" applyBorder="1" applyAlignment="1" applyProtection="1">
      <alignment vertical="center"/>
      <protection hidden="1"/>
    </xf>
    <xf numFmtId="2" fontId="7" fillId="2" borderId="0" xfId="0" applyNumberFormat="1" applyFont="1" applyFill="1" applyBorder="1" applyAlignment="1" applyProtection="1">
      <alignment vertical="center"/>
      <protection hidden="1"/>
    </xf>
    <xf numFmtId="165" fontId="7" fillId="2" borderId="0" xfId="0" applyNumberFormat="1" applyFont="1" applyFill="1" applyBorder="1" applyAlignment="1" applyProtection="1">
      <alignment vertical="center"/>
      <protection hidden="1"/>
    </xf>
    <xf numFmtId="0" fontId="9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0" fontId="17" fillId="2" borderId="0" xfId="0" applyNumberFormat="1" applyFont="1" applyFill="1" applyBorder="1" applyAlignment="1" applyProtection="1">
      <alignment horizontal="right" vertical="center"/>
    </xf>
    <xf numFmtId="0" fontId="15" fillId="2" borderId="0" xfId="0" applyNumberFormat="1" applyFont="1" applyFill="1" applyBorder="1" applyAlignment="1" applyProtection="1">
      <alignment horizontal="left" vertical="center"/>
    </xf>
    <xf numFmtId="164" fontId="7" fillId="2" borderId="0" xfId="0" applyNumberFormat="1" applyFont="1" applyFill="1" applyBorder="1" applyAlignment="1" applyProtection="1">
      <alignment vertical="center"/>
    </xf>
    <xf numFmtId="1" fontId="7" fillId="2" borderId="0" xfId="0" applyNumberFormat="1" applyFont="1" applyFill="1" applyBorder="1" applyAlignment="1" applyProtection="1">
      <alignment horizontal="center" vertical="center"/>
    </xf>
    <xf numFmtId="0" fontId="19" fillId="2" borderId="0" xfId="0" applyNumberFormat="1" applyFont="1" applyFill="1" applyBorder="1" applyAlignment="1" applyProtection="1">
      <alignment horizontal="right" vertical="center"/>
    </xf>
    <xf numFmtId="0" fontId="11" fillId="2" borderId="0" xfId="0" applyNumberFormat="1" applyFont="1" applyFill="1" applyBorder="1" applyAlignment="1" applyProtection="1">
      <alignment horizontal="right" vertical="center"/>
    </xf>
    <xf numFmtId="0" fontId="10" fillId="2" borderId="0" xfId="0" applyNumberFormat="1" applyFont="1" applyFill="1" applyBorder="1" applyAlignment="1" applyProtection="1">
      <alignment horizontal="left" vertical="center"/>
    </xf>
    <xf numFmtId="0" fontId="10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vertical="center"/>
    </xf>
    <xf numFmtId="0" fontId="20" fillId="2" borderId="3" xfId="0" applyNumberFormat="1" applyFont="1" applyFill="1" applyBorder="1" applyAlignment="1" applyProtection="1">
      <alignment vertical="center"/>
    </xf>
    <xf numFmtId="0" fontId="7" fillId="2" borderId="3" xfId="0" applyNumberFormat="1" applyFont="1" applyFill="1" applyBorder="1" applyAlignment="1" applyProtection="1">
      <alignment vertical="center"/>
    </xf>
    <xf numFmtId="0" fontId="1" fillId="0" borderId="5" xfId="0" applyNumberFormat="1" applyFont="1" applyBorder="1" applyAlignment="1" applyProtection="1">
      <alignment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10" fillId="2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Border="1" applyAlignment="1" applyProtection="1">
      <alignment vertical="center"/>
    </xf>
    <xf numFmtId="0" fontId="1" fillId="0" borderId="7" xfId="0" applyNumberFormat="1" applyFont="1" applyBorder="1" applyAlignment="1" applyProtection="1">
      <alignment vertical="center"/>
    </xf>
    <xf numFmtId="0" fontId="1" fillId="0" borderId="8" xfId="0" applyNumberFormat="1" applyFont="1" applyBorder="1" applyAlignment="1" applyProtection="1">
      <alignment vertical="center"/>
    </xf>
    <xf numFmtId="0" fontId="8" fillId="0" borderId="8" xfId="0" applyNumberFormat="1" applyFont="1" applyBorder="1" applyAlignment="1" applyProtection="1">
      <alignment vertical="center"/>
    </xf>
    <xf numFmtId="0" fontId="8" fillId="0" borderId="8" xfId="0" applyNumberFormat="1" applyFont="1" applyBorder="1" applyAlignment="1" applyProtection="1">
      <alignment horizontal="center" vertical="center"/>
    </xf>
    <xf numFmtId="0" fontId="8" fillId="0" borderId="9" xfId="0" applyNumberFormat="1" applyFont="1" applyBorder="1" applyAlignment="1" applyProtection="1">
      <alignment vertical="center"/>
    </xf>
    <xf numFmtId="0" fontId="7" fillId="5" borderId="7" xfId="0" applyFont="1" applyFill="1" applyBorder="1" applyAlignment="1" applyProtection="1">
      <alignment horizontal="right" vertical="center"/>
    </xf>
    <xf numFmtId="166" fontId="7" fillId="5" borderId="9" xfId="0" applyNumberFormat="1" applyFont="1" applyFill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vertical="center"/>
    </xf>
    <xf numFmtId="0" fontId="22" fillId="5" borderId="3" xfId="0" applyNumberFormat="1" applyFont="1" applyFill="1" applyBorder="1" applyAlignment="1" applyProtection="1">
      <alignment vertical="center"/>
    </xf>
    <xf numFmtId="0" fontId="22" fillId="5" borderId="4" xfId="0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vertical="center"/>
    </xf>
    <xf numFmtId="168" fontId="6" fillId="2" borderId="0" xfId="0" applyNumberFormat="1" applyFont="1" applyFill="1" applyBorder="1" applyAlignment="1" applyProtection="1">
      <alignment horizontal="center" vertical="center"/>
      <protection hidden="1"/>
    </xf>
    <xf numFmtId="37" fontId="10" fillId="6" borderId="0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NumberFormat="1" applyFont="1" applyFill="1" applyBorder="1" applyAlignment="1" applyProtection="1">
      <alignment horizontal="left" vertical="center"/>
      <protection hidden="1"/>
    </xf>
    <xf numFmtId="0" fontId="7" fillId="7" borderId="0" xfId="0" applyNumberFormat="1" applyFont="1" applyFill="1" applyBorder="1" applyAlignment="1" applyProtection="1">
      <alignment horizontal="left" vertical="center"/>
    </xf>
    <xf numFmtId="37" fontId="18" fillId="7" borderId="0" xfId="21" applyNumberFormat="1" applyFont="1" applyFill="1" applyBorder="1" applyAlignment="1" applyProtection="1">
      <alignment horizontal="center" vertical="center"/>
    </xf>
    <xf numFmtId="3" fontId="18" fillId="7" borderId="0" xfId="21" applyNumberFormat="1" applyFont="1" applyFill="1" applyBorder="1" applyAlignment="1" applyProtection="1">
      <alignment horizontal="center" vertical="center"/>
    </xf>
    <xf numFmtId="37" fontId="18" fillId="7" borderId="6" xfId="21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1" fontId="18" fillId="0" borderId="0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0" fontId="3" fillId="7" borderId="0" xfId="0" applyNumberFormat="1" applyFont="1" applyFill="1" applyAlignment="1" applyProtection="1">
      <alignment horizontal="left" vertical="center"/>
    </xf>
    <xf numFmtId="1" fontId="3" fillId="7" borderId="0" xfId="0" applyNumberFormat="1" applyFont="1" applyFill="1" applyAlignment="1" applyProtection="1">
      <alignment horizontal="center" vertical="center"/>
    </xf>
    <xf numFmtId="37" fontId="10" fillId="7" borderId="0" xfId="0" applyNumberFormat="1" applyFont="1" applyFill="1" applyBorder="1" applyAlignment="1" applyProtection="1">
      <alignment horizontal="center" vertical="center"/>
    </xf>
    <xf numFmtId="1" fontId="3" fillId="7" borderId="6" xfId="0" applyNumberFormat="1" applyFont="1" applyFill="1" applyBorder="1" applyAlignment="1" applyProtection="1">
      <alignment horizontal="center" vertical="center"/>
    </xf>
    <xf numFmtId="0" fontId="3" fillId="7" borderId="0" xfId="0" applyNumberFormat="1" applyFont="1" applyFill="1" applyAlignment="1" applyProtection="1">
      <alignment vertical="center"/>
    </xf>
    <xf numFmtId="1" fontId="3" fillId="7" borderId="0" xfId="0" applyNumberFormat="1" applyFont="1" applyFill="1" applyBorder="1" applyAlignment="1" applyProtection="1">
      <alignment horizontal="center" vertical="center"/>
    </xf>
    <xf numFmtId="166" fontId="3" fillId="0" borderId="0" xfId="0" applyNumberFormat="1" applyFont="1" applyFill="1" applyAlignment="1" applyProtection="1">
      <alignment horizontal="left" vertical="center"/>
    </xf>
    <xf numFmtId="166" fontId="3" fillId="0" borderId="0" xfId="0" applyNumberFormat="1" applyFont="1" applyFill="1" applyAlignment="1" applyProtection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</xf>
    <xf numFmtId="166" fontId="3" fillId="0" borderId="6" xfId="0" applyNumberFormat="1" applyFont="1" applyFill="1" applyBorder="1" applyAlignment="1" applyProtection="1">
      <alignment horizontal="center" vertical="center"/>
    </xf>
    <xf numFmtId="164" fontId="7" fillId="3" borderId="0" xfId="0" applyNumberFormat="1" applyFont="1" applyFill="1" applyBorder="1" applyAlignment="1" applyProtection="1">
      <alignment horizontal="right" vertical="center"/>
    </xf>
    <xf numFmtId="0" fontId="8" fillId="3" borderId="0" xfId="0" applyNumberFormat="1" applyFont="1" applyFill="1" applyBorder="1" applyAlignment="1" applyProtection="1">
      <alignment vertical="center"/>
    </xf>
    <xf numFmtId="0" fontId="23" fillId="2" borderId="3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5" fillId="2" borderId="0" xfId="0" quotePrefix="1" applyNumberFormat="1" applyFont="1" applyFill="1" applyBorder="1" applyAlignment="1" applyProtection="1">
      <alignment vertical="center"/>
    </xf>
    <xf numFmtId="0" fontId="25" fillId="2" borderId="0" xfId="0" quotePrefix="1" applyNumberFormat="1" applyFont="1" applyFill="1" applyBorder="1" applyAlignment="1" applyProtection="1">
      <alignment horizontal="left" vertical="center"/>
    </xf>
    <xf numFmtId="0" fontId="26" fillId="2" borderId="0" xfId="0" quotePrefix="1" applyNumberFormat="1" applyFont="1" applyFill="1" applyBorder="1" applyAlignment="1" applyProtection="1">
      <alignment vertical="center"/>
    </xf>
    <xf numFmtId="0" fontId="25" fillId="2" borderId="8" xfId="0" applyNumberFormat="1" applyFont="1" applyFill="1" applyBorder="1" applyAlignment="1" applyProtection="1">
      <alignment horizontal="left" vertical="center"/>
    </xf>
    <xf numFmtId="0" fontId="25" fillId="2" borderId="8" xfId="0" quotePrefix="1" applyNumberFormat="1" applyFont="1" applyFill="1" applyBorder="1" applyAlignment="1" applyProtection="1">
      <alignment vertical="center"/>
    </xf>
    <xf numFmtId="0" fontId="26" fillId="2" borderId="8" xfId="0" applyNumberFormat="1" applyFont="1" applyFill="1" applyBorder="1" applyAlignment="1" applyProtection="1">
      <alignment horizontal="left" vertical="center"/>
    </xf>
    <xf numFmtId="0" fontId="25" fillId="2" borderId="8" xfId="0" quotePrefix="1" applyNumberFormat="1" applyFont="1" applyFill="1" applyBorder="1" applyAlignment="1" applyProtection="1">
      <alignment horizontal="left" vertical="center"/>
    </xf>
    <xf numFmtId="1" fontId="7" fillId="2" borderId="11" xfId="0" applyNumberFormat="1" applyFont="1" applyFill="1" applyBorder="1" applyAlignment="1" applyProtection="1">
      <alignment horizontal="center" vertical="center"/>
    </xf>
    <xf numFmtId="1" fontId="7" fillId="2" borderId="1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left" vertical="center"/>
    </xf>
    <xf numFmtId="0" fontId="24" fillId="0" borderId="5" xfId="0" applyNumberFormat="1" applyFont="1" applyBorder="1" applyAlignment="1" applyProtection="1">
      <alignment horizontal="right" vertical="center"/>
    </xf>
    <xf numFmtId="0" fontId="29" fillId="0" borderId="5" xfId="0" applyNumberFormat="1" applyFont="1" applyBorder="1" applyAlignment="1" applyProtection="1">
      <alignment horizontal="right" vertical="center"/>
    </xf>
    <xf numFmtId="0" fontId="30" fillId="0" borderId="5" xfId="0" applyNumberFormat="1" applyFont="1" applyBorder="1" applyAlignment="1" applyProtection="1">
      <alignment horizontal="right" vertical="center"/>
    </xf>
    <xf numFmtId="0" fontId="32" fillId="2" borderId="0" xfId="0" applyNumberFormat="1" applyFont="1" applyFill="1" applyBorder="1" applyAlignment="1" applyProtection="1">
      <alignment horizontal="right" vertical="center"/>
    </xf>
    <xf numFmtId="0" fontId="33" fillId="2" borderId="0" xfId="0" applyNumberFormat="1" applyFont="1" applyFill="1" applyBorder="1" applyAlignment="1" applyProtection="1">
      <alignment horizontal="left" vertical="center"/>
    </xf>
    <xf numFmtId="0" fontId="31" fillId="0" borderId="5" xfId="0" applyNumberFormat="1" applyFont="1" applyBorder="1" applyAlignment="1" applyProtection="1">
      <alignment horizontal="right" vertical="center"/>
    </xf>
    <xf numFmtId="1" fontId="7" fillId="5" borderId="11" xfId="0" quotePrefix="1" applyNumberFormat="1" applyFont="1" applyFill="1" applyBorder="1" applyAlignment="1" applyProtection="1">
      <alignment horizontal="center" vertical="center"/>
    </xf>
    <xf numFmtId="0" fontId="23" fillId="5" borderId="2" xfId="0" applyNumberFormat="1" applyFont="1" applyFill="1" applyBorder="1" applyAlignment="1" applyProtection="1">
      <alignment vertical="center"/>
    </xf>
    <xf numFmtId="0" fontId="8" fillId="0" borderId="0" xfId="0" quotePrefix="1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horizontal="left" vertical="center" indent="1"/>
    </xf>
    <xf numFmtId="164" fontId="7" fillId="2" borderId="0" xfId="0" applyNumberFormat="1" applyFont="1" applyFill="1" applyBorder="1" applyAlignment="1" applyProtection="1">
      <alignment vertical="center"/>
      <protection hidden="1"/>
    </xf>
    <xf numFmtId="0" fontId="6" fillId="2" borderId="1" xfId="0" applyNumberFormat="1" applyFont="1" applyFill="1" applyBorder="1" applyAlignment="1" applyProtection="1">
      <alignment horizontal="center" vertical="center"/>
      <protection locked="0" hidden="1"/>
    </xf>
    <xf numFmtId="1" fontId="7" fillId="2" borderId="13" xfId="0" applyNumberFormat="1" applyFont="1" applyFill="1" applyBorder="1" applyAlignment="1" applyProtection="1">
      <alignment horizontal="center" vertical="center"/>
      <protection hidden="1"/>
    </xf>
    <xf numFmtId="0" fontId="7" fillId="2" borderId="6" xfId="0" applyNumberFormat="1" applyFont="1" applyFill="1" applyBorder="1" applyAlignment="1" applyProtection="1">
      <alignment horizontal="center" vertical="center"/>
      <protection hidden="1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34" fillId="2" borderId="17" xfId="0" applyNumberFormat="1" applyFont="1" applyFill="1" applyBorder="1" applyAlignment="1" applyProtection="1">
      <alignment horizontal="center"/>
      <protection locked="0"/>
    </xf>
    <xf numFmtId="166" fontId="21" fillId="2" borderId="1" xfId="0" applyNumberFormat="1" applyFont="1" applyFill="1" applyBorder="1" applyAlignment="1" applyProtection="1">
      <alignment horizontal="center"/>
      <protection locked="0"/>
    </xf>
    <xf numFmtId="169" fontId="35" fillId="8" borderId="0" xfId="0" applyNumberFormat="1" applyFont="1" applyFill="1" applyAlignment="1">
      <alignment horizontal="left" vertical="center"/>
    </xf>
    <xf numFmtId="39" fontId="3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right" vertical="center"/>
    </xf>
    <xf numFmtId="0" fontId="10" fillId="7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horizontal="right" vertical="center"/>
    </xf>
    <xf numFmtId="0" fontId="1" fillId="7" borderId="0" xfId="0" applyNumberFormat="1" applyFont="1" applyFill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0" fontId="25" fillId="2" borderId="8" xfId="0" quotePrefix="1" applyNumberFormat="1" applyFont="1" applyFill="1" applyBorder="1" applyAlignment="1" applyProtection="1">
      <alignment horizontal="center" vertical="center"/>
    </xf>
    <xf numFmtId="0" fontId="16" fillId="6" borderId="0" xfId="0" applyNumberFormat="1" applyFont="1" applyFill="1" applyBorder="1" applyAlignment="1" applyProtection="1">
      <alignment horizontal="right" vertical="center"/>
      <protection hidden="1"/>
    </xf>
    <xf numFmtId="0" fontId="28" fillId="0" borderId="5" xfId="0" applyNumberFormat="1" applyFont="1" applyBorder="1" applyAlignment="1" applyProtection="1">
      <alignment textRotation="90"/>
    </xf>
    <xf numFmtId="0" fontId="7" fillId="2" borderId="0" xfId="0" applyNumberFormat="1" applyFont="1" applyFill="1" applyBorder="1" applyAlignment="1" applyProtection="1">
      <alignment horizontal="right" vertical="center"/>
      <protection hidden="1"/>
    </xf>
    <xf numFmtId="0" fontId="35" fillId="2" borderId="0" xfId="0" applyNumberFormat="1" applyFont="1" applyFill="1" applyBorder="1" applyAlignment="1" applyProtection="1">
      <alignment horizontal="right" vertical="center"/>
    </xf>
    <xf numFmtId="0" fontId="27" fillId="2" borderId="0" xfId="0" applyNumberFormat="1" applyFont="1" applyFill="1" applyBorder="1" applyAlignment="1" applyProtection="1">
      <alignment horizontal="left" vertical="center"/>
    </xf>
    <xf numFmtId="0" fontId="7" fillId="5" borderId="11" xfId="0" applyFont="1" applyFill="1" applyBorder="1" applyAlignment="1" applyProtection="1">
      <alignment horizontal="right" vertical="center"/>
    </xf>
    <xf numFmtId="1" fontId="7" fillId="5" borderId="18" xfId="0" quotePrefix="1" applyNumberFormat="1" applyFont="1" applyFill="1" applyBorder="1" applyAlignment="1" applyProtection="1">
      <alignment horizontal="center" vertical="center"/>
    </xf>
    <xf numFmtId="166" fontId="7" fillId="5" borderId="19" xfId="0" applyNumberFormat="1" applyFont="1" applyFill="1" applyBorder="1" applyAlignment="1" applyProtection="1">
      <alignment vertical="center"/>
    </xf>
    <xf numFmtId="0" fontId="1" fillId="0" borderId="6" xfId="0" applyNumberFormat="1" applyFont="1" applyBorder="1" applyAlignment="1" applyProtection="1">
      <alignment vertical="center"/>
    </xf>
    <xf numFmtId="1" fontId="6" fillId="5" borderId="20" xfId="0" applyNumberFormat="1" applyFont="1" applyFill="1" applyBorder="1" applyAlignment="1" applyProtection="1">
      <alignment horizontal="center" vertical="center"/>
      <protection locked="0"/>
    </xf>
    <xf numFmtId="2" fontId="7" fillId="7" borderId="0" xfId="0" applyNumberFormat="1" applyFont="1" applyFill="1" applyBorder="1" applyAlignment="1" applyProtection="1">
      <alignment horizontal="center" vertical="center"/>
    </xf>
    <xf numFmtId="2" fontId="7" fillId="7" borderId="6" xfId="0" applyNumberFormat="1" applyFont="1" applyFill="1" applyBorder="1" applyAlignment="1" applyProtection="1">
      <alignment horizontal="center" vertical="center"/>
    </xf>
    <xf numFmtId="1" fontId="7" fillId="2" borderId="14" xfId="0" applyNumberFormat="1" applyFont="1" applyFill="1" applyBorder="1" applyAlignment="1" applyProtection="1">
      <alignment horizontal="center" vertical="center"/>
      <protection hidden="1"/>
    </xf>
    <xf numFmtId="0" fontId="7" fillId="2" borderId="10" xfId="0" applyNumberFormat="1" applyFont="1" applyFill="1" applyBorder="1" applyAlignment="1" applyProtection="1">
      <alignment horizontal="center" vertical="center"/>
      <protection hidden="1"/>
    </xf>
    <xf numFmtId="0" fontId="37" fillId="0" borderId="21" xfId="0" applyNumberFormat="1" applyFont="1" applyBorder="1" applyAlignment="1" applyProtection="1">
      <alignment horizontal="right" vertical="center"/>
    </xf>
    <xf numFmtId="0" fontId="37" fillId="0" borderId="19" xfId="0" applyNumberFormat="1" applyFont="1" applyBorder="1" applyAlignment="1" applyProtection="1">
      <alignment vertical="center"/>
    </xf>
    <xf numFmtId="0" fontId="37" fillId="0" borderId="22" xfId="0" applyNumberFormat="1" applyFont="1" applyBorder="1" applyAlignment="1" applyProtection="1">
      <alignment horizontal="right" vertical="center"/>
    </xf>
    <xf numFmtId="9" fontId="37" fillId="0" borderId="16" xfId="0" applyNumberFormat="1" applyFont="1" applyBorder="1" applyAlignment="1" applyProtection="1">
      <alignment horizontal="center" vertical="center"/>
    </xf>
    <xf numFmtId="0" fontId="37" fillId="0" borderId="23" xfId="0" applyNumberFormat="1" applyFont="1" applyBorder="1" applyAlignment="1" applyProtection="1">
      <alignment vertical="center"/>
    </xf>
    <xf numFmtId="0" fontId="7" fillId="5" borderId="20" xfId="0" applyFont="1" applyFill="1" applyBorder="1" applyAlignment="1" applyProtection="1">
      <alignment horizontal="right" vertical="center"/>
    </xf>
    <xf numFmtId="1" fontId="7" fillId="5" borderId="20" xfId="0" quotePrefix="1" applyNumberFormat="1" applyFont="1" applyFill="1" applyBorder="1" applyAlignment="1" applyProtection="1">
      <alignment horizontal="center" vertical="center"/>
    </xf>
    <xf numFmtId="0" fontId="7" fillId="5" borderId="24" xfId="0" applyFont="1" applyFill="1" applyBorder="1" applyAlignment="1" applyProtection="1">
      <alignment vertical="center"/>
    </xf>
    <xf numFmtId="0" fontId="7" fillId="5" borderId="25" xfId="0" applyFont="1" applyFill="1" applyBorder="1" applyAlignment="1" applyProtection="1">
      <alignment horizontal="right" vertical="center"/>
    </xf>
    <xf numFmtId="0" fontId="7" fillId="5" borderId="26" xfId="0" applyFont="1" applyFill="1" applyBorder="1" applyAlignment="1" applyProtection="1">
      <alignment horizontal="center" vertical="center"/>
    </xf>
    <xf numFmtId="0" fontId="7" fillId="5" borderId="26" xfId="0" applyFont="1" applyFill="1" applyBorder="1" applyAlignment="1" applyProtection="1">
      <alignment horizontal="left" vertical="center"/>
    </xf>
    <xf numFmtId="0" fontId="7" fillId="5" borderId="10" xfId="0" applyFont="1" applyFill="1" applyBorder="1" applyAlignment="1" applyProtection="1">
      <alignment vertical="center"/>
    </xf>
    <xf numFmtId="0" fontId="37" fillId="0" borderId="27" xfId="0" applyNumberFormat="1" applyFont="1" applyBorder="1" applyAlignment="1" applyProtection="1">
      <alignment horizontal="right" vertical="center"/>
    </xf>
    <xf numFmtId="0" fontId="37" fillId="0" borderId="28" xfId="0" applyNumberFormat="1" applyFont="1" applyBorder="1" applyAlignment="1" applyProtection="1">
      <alignment vertical="center"/>
    </xf>
    <xf numFmtId="0" fontId="38" fillId="0" borderId="29" xfId="0" applyNumberFormat="1" applyFont="1" applyBorder="1" applyAlignment="1" applyProtection="1">
      <alignment vertical="center"/>
    </xf>
    <xf numFmtId="1" fontId="37" fillId="0" borderId="20" xfId="0" applyNumberFormat="1" applyFont="1" applyBorder="1" applyAlignment="1" applyProtection="1">
      <alignment horizontal="center" vertical="center"/>
    </xf>
    <xf numFmtId="0" fontId="37" fillId="0" borderId="30" xfId="0" applyNumberFormat="1" applyFont="1" applyBorder="1" applyAlignment="1" applyProtection="1">
      <alignment horizontal="right" vertical="center"/>
    </xf>
    <xf numFmtId="2" fontId="37" fillId="0" borderId="15" xfId="0" applyNumberFormat="1" applyFont="1" applyBorder="1" applyAlignment="1" applyProtection="1">
      <alignment horizontal="center" vertical="center"/>
      <protection locked="0"/>
    </xf>
    <xf numFmtId="9" fontId="37" fillId="0" borderId="31" xfId="0" applyNumberFormat="1" applyFont="1" applyBorder="1" applyAlignment="1" applyProtection="1">
      <alignment horizontal="center" vertical="center"/>
      <protection locked="0"/>
    </xf>
  </cellXfs>
  <cellStyles count="38">
    <cellStyle name="Followed Hyperlink" xfId="35" builtinId="9" hidden="1"/>
    <cellStyle name="Followed Hyperlink" xfId="20" builtinId="9" hidden="1"/>
    <cellStyle name="Followed Hyperlink" xfId="33" builtinId="9" hidden="1"/>
    <cellStyle name="Followed Hyperlink" xfId="18" builtinId="9" hidden="1"/>
    <cellStyle name="Followed Hyperlink" xfId="23" builtinId="9" hidden="1"/>
    <cellStyle name="Followed Hyperlink" xfId="29" builtinId="9" hidden="1"/>
    <cellStyle name="Followed Hyperlink" xfId="2" builtinId="9" hidden="1"/>
    <cellStyle name="Followed Hyperlink" xfId="16" builtinId="9" hidden="1"/>
    <cellStyle name="Followed Hyperlink" xfId="6" builtinId="9" hidden="1"/>
    <cellStyle name="Followed Hyperlink" xfId="10" builtinId="9" hidden="1"/>
    <cellStyle name="Followed Hyperlink" xfId="25" builtinId="9" hidden="1"/>
    <cellStyle name="Followed Hyperlink" xfId="14" builtinId="9" hidden="1"/>
    <cellStyle name="Followed Hyperlink" xfId="27" builtinId="9" hidden="1"/>
    <cellStyle name="Followed Hyperlink" xfId="8" builtinId="9" hidden="1"/>
    <cellStyle name="Followed Hyperlink" xfId="31" builtinId="9" hidden="1"/>
    <cellStyle name="Followed Hyperlink" xfId="12" builtinId="9" hidden="1"/>
    <cellStyle name="Followed Hyperlink" xfId="4" builtinId="9" hidden="1"/>
    <cellStyle name="Followed Hyperlink" xfId="37" builtinId="9" hidden="1"/>
    <cellStyle name="Good" xfId="21" builtinId="26"/>
    <cellStyle name="Hyperlink" xfId="15" builtinId="8" hidden="1"/>
    <cellStyle name="Hyperlink" xfId="1" builtinId="8" hidden="1"/>
    <cellStyle name="Hyperlink" xfId="30" builtinId="8" hidden="1"/>
    <cellStyle name="Hyperlink" xfId="19" builtinId="8" hidden="1"/>
    <cellStyle name="Hyperlink" xfId="22" builtinId="8" hidden="1"/>
    <cellStyle name="Hyperlink" xfId="24" builtinId="8" hidden="1"/>
    <cellStyle name="Hyperlink" xfId="34" builtinId="8" hidden="1"/>
    <cellStyle name="Hyperlink" xfId="28" builtinId="8" hidden="1"/>
    <cellStyle name="Hyperlink" xfId="32" builtinId="8" hidden="1"/>
    <cellStyle name="Hyperlink" xfId="11" builtinId="8" hidden="1"/>
    <cellStyle name="Hyperlink" xfId="3" builtinId="8" hidden="1"/>
    <cellStyle name="Hyperlink" xfId="5" builtinId="8" hidden="1"/>
    <cellStyle name="Hyperlink" xfId="7" builtinId="8" hidden="1"/>
    <cellStyle name="Hyperlink" xfId="17" builtinId="8" hidden="1"/>
    <cellStyle name="Hyperlink" xfId="9" builtinId="8" hidden="1"/>
    <cellStyle name="Hyperlink" xfId="13" builtinId="8" hidden="1"/>
    <cellStyle name="Hyperlink" xfId="26" builtinId="8" hidden="1"/>
    <cellStyle name="Hyperlink" xfId="36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000000"/>
      <rgbColor rgb="000000FF"/>
      <rgbColor rgb="00FFFFFF"/>
      <rgbColor rgb="00C0C0C0"/>
      <rgbColor rgb="00FF9900"/>
      <rgbColor rgb="00800000"/>
      <rgbColor rgb="00FFFFFF"/>
      <rgbColor rgb="00C0C0C0"/>
      <rgbColor rgb="00800080"/>
      <rgbColor rgb="0099CC00"/>
      <rgbColor rgb="00FF0000"/>
      <rgbColor rgb="00CDCDCD"/>
      <rgbColor rgb="00CCCCCC"/>
      <rgbColor rgb="00808080"/>
      <rgbColor rgb="00000080"/>
      <rgbColor rgb="00FF00FF"/>
      <rgbColor rgb="00FFFF00"/>
      <rgbColor rgb="0000FFFF"/>
      <rgbColor rgb="009999FF"/>
      <rgbColor rgb="00993366"/>
      <rgbColor rgb="00FFFFCC"/>
      <rgbColor rgb="00CCFFFF"/>
      <rgbColor rgb="00660066"/>
      <rgbColor rgb="00FF8080"/>
      <rgbColor rgb="003F77BE"/>
      <rgbColor rgb="007CC861"/>
      <rgbColor rgb="00FFB143"/>
      <rgbColor rgb="00EF383C"/>
      <rgbColor rgb="009D56AB"/>
      <rgbColor rgb="00AEB2B1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O31"/>
  <sheetViews>
    <sheetView showGridLines="0" tabSelected="1" zoomScale="171" zoomScaleNormal="171" zoomScalePageLayoutView="130" workbookViewId="0">
      <selection activeCell="M4" sqref="M4"/>
    </sheetView>
  </sheetViews>
  <sheetFormatPr baseColWidth="10" defaultColWidth="10.1640625" defaultRowHeight="20.25" customHeight="1" x14ac:dyDescent="0.15"/>
  <cols>
    <col min="1" max="1" width="24.5" style="1" customWidth="1"/>
    <col min="2" max="2" width="0.1640625" style="1" customWidth="1"/>
    <col min="3" max="3" width="3.5" style="1" customWidth="1"/>
    <col min="4" max="4" width="8.1640625" style="1" customWidth="1"/>
    <col min="5" max="5" width="2.83203125" style="1" customWidth="1"/>
    <col min="6" max="6" width="1.83203125" style="1" customWidth="1"/>
    <col min="7" max="7" width="12.1640625" style="1" customWidth="1"/>
    <col min="8" max="8" width="5.5" style="1" customWidth="1"/>
    <col min="9" max="9" width="12.5" style="1" customWidth="1"/>
    <col min="10" max="11" width="7.83203125" style="1" customWidth="1"/>
    <col min="12" max="12" width="9.33203125" style="1" customWidth="1"/>
    <col min="13" max="13" width="8.5" style="15" customWidth="1"/>
    <col min="14" max="14" width="9" style="1" customWidth="1"/>
    <col min="15" max="15" width="8.5" style="1" customWidth="1"/>
    <col min="16" max="16" width="7.33203125" style="6" hidden="1" customWidth="1"/>
    <col min="17" max="18" width="5.83203125" style="6" hidden="1" customWidth="1"/>
    <col min="19" max="20" width="6.33203125" style="6" hidden="1" customWidth="1"/>
    <col min="21" max="21" width="6.83203125" style="6" hidden="1" customWidth="1"/>
    <col min="22" max="22" width="7.83203125" style="6" hidden="1" customWidth="1"/>
    <col min="23" max="23" width="8.33203125" style="6" hidden="1" customWidth="1"/>
    <col min="24" max="24" width="8.1640625" style="6" hidden="1" customWidth="1"/>
    <col min="25" max="26" width="10.1640625" style="6" hidden="1" customWidth="1"/>
    <col min="27" max="33" width="10.1640625" style="3" hidden="1" customWidth="1"/>
    <col min="34" max="34" width="5.83203125" style="3" hidden="1" customWidth="1"/>
    <col min="35" max="35" width="9.5" style="3" hidden="1" customWidth="1"/>
    <col min="36" max="36" width="25.1640625" style="1" customWidth="1"/>
    <col min="37" max="37" width="7.1640625" style="1" customWidth="1"/>
    <col min="38" max="38" width="2.33203125" style="1" customWidth="1"/>
    <col min="39" max="39" width="6" style="1" customWidth="1"/>
    <col min="40" max="40" width="4.6640625" style="1" customWidth="1"/>
    <col min="41" max="16384" width="10.1640625" style="1"/>
  </cols>
  <sheetData>
    <row r="1" spans="1:41" ht="15" customHeight="1" thickTop="1" thickBot="1" x14ac:dyDescent="0.2">
      <c r="A1" s="88" t="s">
        <v>65</v>
      </c>
      <c r="B1" s="46"/>
      <c r="D1" s="47"/>
      <c r="E1" s="47"/>
      <c r="F1" s="47"/>
      <c r="G1" s="47"/>
      <c r="H1" s="48"/>
      <c r="I1" s="46"/>
      <c r="J1" s="86" t="s">
        <v>59</v>
      </c>
      <c r="K1" s="87"/>
      <c r="L1" s="21" t="s">
        <v>9</v>
      </c>
      <c r="M1" s="21" t="s">
        <v>10</v>
      </c>
      <c r="N1" s="98" t="s">
        <v>64</v>
      </c>
      <c r="O1" s="99" t="s">
        <v>11</v>
      </c>
      <c r="P1" s="18" t="s">
        <v>0</v>
      </c>
      <c r="Q1" s="2" t="s">
        <v>1</v>
      </c>
      <c r="R1" s="2" t="s">
        <v>2</v>
      </c>
      <c r="S1" s="2" t="s">
        <v>3</v>
      </c>
      <c r="T1" s="2" t="s">
        <v>4</v>
      </c>
      <c r="U1" s="2" t="s">
        <v>5</v>
      </c>
      <c r="V1" s="2" t="s">
        <v>6</v>
      </c>
      <c r="W1" s="2" t="s">
        <v>7</v>
      </c>
      <c r="X1" s="19"/>
      <c r="Y1" s="20"/>
      <c r="Z1" s="20"/>
      <c r="AA1" s="123" t="s">
        <v>90</v>
      </c>
      <c r="AB1" s="3">
        <v>8.9999999999999993E-3</v>
      </c>
      <c r="AJ1" s="108" t="s">
        <v>75</v>
      </c>
      <c r="AK1" s="61"/>
      <c r="AL1" s="61"/>
      <c r="AM1" s="61"/>
      <c r="AN1" s="62"/>
      <c r="AO1" s="3"/>
    </row>
    <row r="2" spans="1:41" ht="15" customHeight="1" thickTop="1" thickBot="1" x14ac:dyDescent="0.2">
      <c r="A2" s="49"/>
      <c r="B2" s="3"/>
      <c r="C2" s="35"/>
      <c r="D2" s="34"/>
      <c r="E2" s="34"/>
      <c r="F2" s="125" t="s">
        <v>91</v>
      </c>
      <c r="G2" s="126"/>
      <c r="H2" s="126"/>
      <c r="I2" s="126"/>
      <c r="J2" s="38">
        <f>IF(((M2/(L2/100))*AB1)&lt;23.05,M2/(L2/100)*AB1,"Error")</f>
        <v>23.04</v>
      </c>
      <c r="K2" s="35" t="s">
        <v>17</v>
      </c>
      <c r="L2" s="45">
        <v>200</v>
      </c>
      <c r="M2" s="45">
        <v>5120</v>
      </c>
      <c r="N2" s="39">
        <f>O4/3.6</f>
        <v>16.666666666666668</v>
      </c>
      <c r="O2" s="45">
        <v>60</v>
      </c>
      <c r="P2" s="2">
        <v>25</v>
      </c>
      <c r="Q2" s="2" t="s">
        <v>12</v>
      </c>
      <c r="R2" s="2">
        <v>338</v>
      </c>
      <c r="S2" s="2">
        <v>336</v>
      </c>
      <c r="T2" s="2">
        <v>336</v>
      </c>
      <c r="U2" s="2">
        <v>336</v>
      </c>
      <c r="V2" s="2">
        <v>336</v>
      </c>
      <c r="W2" s="2"/>
      <c r="X2" s="19"/>
      <c r="Y2" s="20"/>
      <c r="Z2" s="20"/>
      <c r="AA2" s="64" t="s">
        <v>8</v>
      </c>
      <c r="AB2" s="21">
        <v>2.100695E-2</v>
      </c>
      <c r="AI2" s="16"/>
      <c r="AJ2" s="150" t="s">
        <v>84</v>
      </c>
      <c r="AK2" s="63" t="s">
        <v>35</v>
      </c>
      <c r="AL2" s="151"/>
      <c r="AM2" s="152"/>
      <c r="AN2" s="153"/>
      <c r="AO2" s="3"/>
    </row>
    <row r="3" spans="1:41" ht="15" customHeight="1" thickTop="1" thickBot="1" x14ac:dyDescent="0.25">
      <c r="A3" s="101" t="s">
        <v>66</v>
      </c>
      <c r="B3" s="3"/>
      <c r="C3" s="36" t="s">
        <v>15</v>
      </c>
      <c r="D3" s="117">
        <v>20</v>
      </c>
      <c r="E3" s="35" t="s">
        <v>16</v>
      </c>
      <c r="F3" s="125" t="s">
        <v>70</v>
      </c>
      <c r="G3" s="126"/>
      <c r="H3" s="126"/>
      <c r="I3" s="126"/>
      <c r="J3" s="38">
        <f>IF(((M3/(L3/100))*AB3)&lt;11.265,M3/(L3/100)*AB3,"Error")</f>
        <v>11.263999999999999</v>
      </c>
      <c r="K3" s="35" t="s">
        <v>17</v>
      </c>
      <c r="L3" s="45">
        <v>200</v>
      </c>
      <c r="M3" s="45">
        <v>2048</v>
      </c>
      <c r="N3" s="113">
        <f>O4/3.6</f>
        <v>16.666666666666668</v>
      </c>
      <c r="O3" s="114">
        <f>O4</f>
        <v>60</v>
      </c>
      <c r="P3" s="2">
        <v>33</v>
      </c>
      <c r="Q3" s="2" t="s">
        <v>12</v>
      </c>
      <c r="R3" s="2">
        <v>450</v>
      </c>
      <c r="S3" s="2">
        <v>448</v>
      </c>
      <c r="T3" s="2">
        <v>448</v>
      </c>
      <c r="U3" s="2">
        <v>448</v>
      </c>
      <c r="V3" s="2">
        <v>448</v>
      </c>
      <c r="W3" s="2"/>
      <c r="X3" s="19"/>
      <c r="Y3" s="20"/>
      <c r="Z3" s="20"/>
      <c r="AA3" s="64" t="s">
        <v>13</v>
      </c>
      <c r="AB3" s="21">
        <v>1.0999999999999999E-2</v>
      </c>
      <c r="AC3" s="16"/>
      <c r="AD3" s="16"/>
      <c r="AE3" s="16"/>
      <c r="AF3" s="16"/>
      <c r="AG3" s="16"/>
      <c r="AH3" s="16"/>
      <c r="AI3" s="110"/>
      <c r="AJ3" s="147" t="s">
        <v>85</v>
      </c>
      <c r="AK3" s="137">
        <v>12.5</v>
      </c>
      <c r="AL3" s="148" t="s">
        <v>97</v>
      </c>
      <c r="AM3" s="137">
        <v>75</v>
      </c>
      <c r="AN3" s="149" t="s">
        <v>17</v>
      </c>
      <c r="AO3" s="3"/>
    </row>
    <row r="4" spans="1:41" ht="15" customHeight="1" thickTop="1" thickBot="1" x14ac:dyDescent="0.25">
      <c r="A4" s="102" t="s">
        <v>67</v>
      </c>
      <c r="B4" s="3"/>
      <c r="C4" s="40" t="s">
        <v>19</v>
      </c>
      <c r="D4" s="116">
        <v>80</v>
      </c>
      <c r="E4" s="35" t="s">
        <v>16</v>
      </c>
      <c r="F4" s="130" t="s">
        <v>71</v>
      </c>
      <c r="G4" s="130"/>
      <c r="H4" s="130"/>
      <c r="I4" s="130"/>
      <c r="J4" s="111">
        <f>IF(((M4/(L4/100))*AB4)&lt;4.81,M4/(L4/100)*AB4,"Error")</f>
        <v>4.8</v>
      </c>
      <c r="K4" s="22" t="s">
        <v>17</v>
      </c>
      <c r="L4" s="112">
        <v>200</v>
      </c>
      <c r="M4" s="112">
        <v>1280</v>
      </c>
      <c r="N4" s="113">
        <f>O5/3.6</f>
        <v>16.666666666666668</v>
      </c>
      <c r="O4" s="114">
        <f>O5</f>
        <v>60</v>
      </c>
      <c r="P4" s="2">
        <v>50</v>
      </c>
      <c r="Q4" s="2">
        <v>500</v>
      </c>
      <c r="R4" s="2">
        <v>674</v>
      </c>
      <c r="S4" s="2">
        <v>672</v>
      </c>
      <c r="T4" s="2">
        <v>672</v>
      </c>
      <c r="U4" s="2">
        <v>680</v>
      </c>
      <c r="V4" s="2">
        <v>680</v>
      </c>
      <c r="W4" s="2"/>
      <c r="X4" s="20"/>
      <c r="Y4" s="20"/>
      <c r="Z4" s="20"/>
      <c r="AA4" s="64" t="s">
        <v>18</v>
      </c>
      <c r="AB4" s="21">
        <v>7.4999999999999997E-3</v>
      </c>
      <c r="AC4" s="16"/>
      <c r="AD4" s="16"/>
      <c r="AE4" s="16"/>
      <c r="AF4" s="16"/>
      <c r="AG4" s="16"/>
      <c r="AH4" s="16"/>
      <c r="AI4" s="16"/>
      <c r="AJ4" s="133" t="s">
        <v>21</v>
      </c>
      <c r="AK4" s="107">
        <f>IF($AK$2="5L200",$AK$3,IF($AK$2="5L300",$AK$3*0.515,IF($AK$2="5L400",$AK$3*0.745,IF($AK$2="5L500",$AK$3*4.375,IF($AK$2="5L600",$AK$3*1.858,IF($AK$2="5L700",$AK$3*0.913))))))</f>
        <v>23.225000000000001</v>
      </c>
      <c r="AL4" s="107" t="s">
        <v>97</v>
      </c>
      <c r="AM4" s="107">
        <f>IF($AK$2="5L200",$AM$3,IF($AK$2="5L300",$AM$3*0.515,IF($AK$2="5L400",$AM$3*0.745,IF($AK$2="5L500",$AM$3*4.375,IF($AK$2="5L600",$AM$3*1.858,IF($AK$2="5L700",$AM$3*0.913))))))</f>
        <v>139.35</v>
      </c>
      <c r="AN4" s="135" t="s">
        <v>17</v>
      </c>
      <c r="AO4" s="3"/>
    </row>
    <row r="5" spans="1:41" ht="15" customHeight="1" thickTop="1" thickBot="1" x14ac:dyDescent="0.25">
      <c r="A5" s="103" t="s">
        <v>68</v>
      </c>
      <c r="B5" s="3"/>
      <c r="C5" s="41" t="s">
        <v>22</v>
      </c>
      <c r="D5" s="115">
        <v>22</v>
      </c>
      <c r="E5" s="35" t="s">
        <v>16</v>
      </c>
      <c r="F5" s="130" t="s">
        <v>72</v>
      </c>
      <c r="G5" s="130"/>
      <c r="H5" s="130"/>
      <c r="I5" s="130"/>
      <c r="J5" s="111">
        <f>IF(((M5/(L5/100))*AB5)&lt;28.2334,M5/(L5/100)*AB5,"Error")</f>
        <v>28.233340800000001</v>
      </c>
      <c r="K5" s="22" t="s">
        <v>17</v>
      </c>
      <c r="L5" s="112">
        <v>100</v>
      </c>
      <c r="M5" s="112">
        <v>1344</v>
      </c>
      <c r="N5" s="113">
        <f>O2/3.6</f>
        <v>16.666666666666668</v>
      </c>
      <c r="O5" s="114">
        <f>O6</f>
        <v>60</v>
      </c>
      <c r="P5" s="2">
        <v>100</v>
      </c>
      <c r="Q5" s="2">
        <v>500</v>
      </c>
      <c r="R5" s="2">
        <v>1000</v>
      </c>
      <c r="S5" s="2">
        <v>1000</v>
      </c>
      <c r="T5" s="2">
        <v>1344</v>
      </c>
      <c r="U5" s="2">
        <v>1360</v>
      </c>
      <c r="V5" s="2">
        <v>1360</v>
      </c>
      <c r="W5" s="2">
        <v>640</v>
      </c>
      <c r="X5" s="20"/>
      <c r="Y5" s="20"/>
      <c r="Z5" s="20"/>
      <c r="AA5" s="64" t="s">
        <v>20</v>
      </c>
      <c r="AB5" s="21">
        <v>2.100695E-2</v>
      </c>
      <c r="AC5" s="16"/>
      <c r="AD5" s="16"/>
      <c r="AE5" s="16"/>
      <c r="AF5" s="16"/>
      <c r="AG5" s="16"/>
      <c r="AH5" s="16"/>
      <c r="AI5" s="16"/>
      <c r="AJ5" s="133" t="s">
        <v>24</v>
      </c>
      <c r="AK5" s="107">
        <f>IF($AK$2="5L300",$AK$3,IF($AK$2="5L200",$AK$3/0.515,IF($AK$2="5L400",$AK$3/0.692,IF($AK$2="5L500",$AK$3/0.1176,IF($AK$2="5L600",$AK$3/0.276,IF($AK$2="5L700",$AK$3*1.736111111))))))</f>
        <v>45.289855072463766</v>
      </c>
      <c r="AL5" s="107" t="s">
        <v>97</v>
      </c>
      <c r="AM5" s="107">
        <f>IF($AK$2="5L300",$AM$3,IF($AK$2="5L200",$AM$3/0.515,IF($AK$2="5L400",$AM$3/0.692,IF($AK$2="5L500",$AM$3/0.1176,IF($AK$2="5L600",$AM$3/0.276,IF($AK$2="5L700",$AM$3*1.736111111))))))</f>
        <v>271.73913043478257</v>
      </c>
      <c r="AN5" s="135" t="s">
        <v>17</v>
      </c>
      <c r="AO5" s="3"/>
    </row>
    <row r="6" spans="1:41" ht="15" customHeight="1" thickTop="1" thickBot="1" x14ac:dyDescent="0.25">
      <c r="A6" s="106" t="s">
        <v>69</v>
      </c>
      <c r="B6" s="3"/>
      <c r="C6" s="104" t="s">
        <v>25</v>
      </c>
      <c r="D6" s="119">
        <v>2.5</v>
      </c>
      <c r="E6" s="35" t="s">
        <v>16</v>
      </c>
      <c r="F6" s="125" t="s">
        <v>73</v>
      </c>
      <c r="G6" s="125"/>
      <c r="H6" s="125"/>
      <c r="I6" s="125"/>
      <c r="J6" s="38">
        <f>IF(((M6/(L6/100))*AB6)&lt;41,M6/(L6/100)*AB6,"Error'")</f>
        <v>39.999999999999993</v>
      </c>
      <c r="K6" s="35" t="s">
        <v>17</v>
      </c>
      <c r="L6" s="45">
        <v>150</v>
      </c>
      <c r="M6" s="45">
        <v>2000</v>
      </c>
      <c r="N6" s="113">
        <f>O6/3.6</f>
        <v>16.666666666666668</v>
      </c>
      <c r="O6" s="114">
        <f>O2</f>
        <v>60</v>
      </c>
      <c r="P6" s="2">
        <v>150</v>
      </c>
      <c r="Q6" s="2" t="s">
        <v>12</v>
      </c>
      <c r="R6" s="2" t="s">
        <v>12</v>
      </c>
      <c r="S6" s="2" t="s">
        <v>12</v>
      </c>
      <c r="T6" s="2" t="s">
        <v>12</v>
      </c>
      <c r="U6" s="2" t="s">
        <v>12</v>
      </c>
      <c r="V6" s="2">
        <v>2038</v>
      </c>
      <c r="W6" s="2"/>
      <c r="X6" s="20"/>
      <c r="Y6" s="20"/>
      <c r="Z6" s="20"/>
      <c r="AA6" s="64" t="s">
        <v>23</v>
      </c>
      <c r="AB6" s="21">
        <v>0.03</v>
      </c>
      <c r="AC6" s="16"/>
      <c r="AD6" s="16"/>
      <c r="AE6" s="16"/>
      <c r="AF6" s="16"/>
      <c r="AG6" s="16"/>
      <c r="AH6" s="16"/>
      <c r="AI6" s="25"/>
      <c r="AJ6" s="133" t="s">
        <v>28</v>
      </c>
      <c r="AK6" s="107">
        <f>IF($AK$2="5L400",$AK$3,IF($AK$2="5L300",$AK$3*0.692,IF($AK$2="5L200",$AK$3/0.744,IF($AK$2="5L500",$AK$3/0.17,IF($AK$2="5L600",$AK$3/0.399,IF($AK$2="5L700",$AK$3*1.22451))))))</f>
        <v>31.32832080200501</v>
      </c>
      <c r="AL6" s="107" t="s">
        <v>97</v>
      </c>
      <c r="AM6" s="107">
        <f>IF($AK$2="5L400",$AM$3,IF($AK$2="5L300",$AM$3*0.692,IF($AK$2="5L200",$AM$3/0.744,IF($AK$2="5L500",$AM$3/0.17,IF($AK$2="5L600",$AM$3/0.399,IF($AK$2="5L700",$AM$3*1.22451))))))</f>
        <v>187.96992481203006</v>
      </c>
      <c r="AN6" s="135" t="s">
        <v>17</v>
      </c>
      <c r="AO6" s="3"/>
    </row>
    <row r="7" spans="1:41" ht="15" customHeight="1" thickTop="1" thickBot="1" x14ac:dyDescent="0.2">
      <c r="D7" s="34"/>
      <c r="E7" s="34"/>
      <c r="F7" s="125" t="s">
        <v>74</v>
      </c>
      <c r="G7" s="125"/>
      <c r="H7" s="125"/>
      <c r="I7" s="125"/>
      <c r="J7" s="38">
        <f>IF(((M7/(L7/100))*AB2)&lt;21.008,M7/(L7/100)*AB2,"Error")</f>
        <v>21.00695</v>
      </c>
      <c r="K7" s="35" t="s">
        <v>17</v>
      </c>
      <c r="L7" s="45">
        <v>100</v>
      </c>
      <c r="M7" s="45">
        <v>1000</v>
      </c>
      <c r="N7" s="140">
        <f>O7/3.6</f>
        <v>16.666666666666668</v>
      </c>
      <c r="O7" s="141">
        <f>O2</f>
        <v>60</v>
      </c>
      <c r="P7" s="2">
        <v>200</v>
      </c>
      <c r="Q7" s="2" t="s">
        <v>12</v>
      </c>
      <c r="R7" s="2" t="s">
        <v>12</v>
      </c>
      <c r="S7" s="2" t="s">
        <v>12</v>
      </c>
      <c r="T7" s="2">
        <v>2696</v>
      </c>
      <c r="U7" s="2" t="s">
        <v>12</v>
      </c>
      <c r="V7" s="2" t="s">
        <v>12</v>
      </c>
      <c r="W7" s="2">
        <v>1280</v>
      </c>
      <c r="X7" s="20"/>
      <c r="Y7" s="20"/>
      <c r="Z7" s="20"/>
      <c r="AJ7" s="133" t="s">
        <v>31</v>
      </c>
      <c r="AK7" s="107">
        <f>IF($AK$2="5L500",$AK$3,IF($AK$2="5L300",$AK$3*0.1176,IF($AK$2="5L400",$AK$3*0.17,IF($AK$2="5L200",$AK$3*0.23,IF($AK$2="5L600",$AK$3*0.426,IF($AK$2="5L700",$AK$3*0.20833))))))</f>
        <v>5.3250000000000002</v>
      </c>
      <c r="AL7" s="107" t="s">
        <v>97</v>
      </c>
      <c r="AM7" s="107">
        <f>IF($AK$2="5L500",$AM$3,IF($AK$2="5L300",$AM$3*0.1176,IF($AK$2="5L400",$AM$3*0.17,IF($AK$2="5L200",$AM$3*0.23,IF($AK$2="5L600",$AM$3*0.426,IF($AK$2="5L700",$AM$3*0.20833))))))</f>
        <v>31.95</v>
      </c>
      <c r="AN7" s="135" t="s">
        <v>17</v>
      </c>
      <c r="AO7" s="3"/>
    </row>
    <row r="8" spans="1:41" ht="15" customHeight="1" thickTop="1" x14ac:dyDescent="0.15">
      <c r="A8" s="131" t="s">
        <v>43</v>
      </c>
      <c r="B8" s="126"/>
      <c r="C8" s="126"/>
      <c r="D8" s="118">
        <f>(ATAN(D3/D4)*360/PI()/2)-(AD8/2)</f>
        <v>11.885808681715714</v>
      </c>
      <c r="E8" s="34"/>
      <c r="F8" s="64"/>
      <c r="G8" s="120"/>
      <c r="H8" s="120"/>
      <c r="I8" s="120"/>
      <c r="J8" s="38"/>
      <c r="K8" s="37"/>
      <c r="L8" s="66"/>
      <c r="M8" s="66"/>
      <c r="N8" s="39"/>
      <c r="O8" s="50"/>
      <c r="P8" s="2">
        <v>300</v>
      </c>
      <c r="Q8" s="2" t="s">
        <v>12</v>
      </c>
      <c r="R8" s="2" t="s">
        <v>12</v>
      </c>
      <c r="S8" s="2" t="s">
        <v>12</v>
      </c>
      <c r="T8" s="2" t="s">
        <v>12</v>
      </c>
      <c r="U8" s="2" t="s">
        <v>12</v>
      </c>
      <c r="V8" s="2">
        <v>4078</v>
      </c>
      <c r="W8" s="2"/>
      <c r="X8" s="20"/>
      <c r="Y8" s="20"/>
      <c r="Z8" s="20"/>
      <c r="AA8" s="22" t="s">
        <v>26</v>
      </c>
      <c r="AB8" s="19"/>
      <c r="AC8" s="23"/>
      <c r="AD8" s="24">
        <f>(ATAN((D4+D5)/(D3-D6))-ATAN(D4/D3))*360/(PI()*2)</f>
        <v>4.3008695724215249</v>
      </c>
      <c r="AE8" s="22" t="s">
        <v>27</v>
      </c>
      <c r="AF8" s="24">
        <f>AD8</f>
        <v>4.3008695724215249</v>
      </c>
      <c r="AG8" s="25">
        <f>AD8</f>
        <v>4.3008695724215249</v>
      </c>
      <c r="AH8" s="25">
        <f>AD8</f>
        <v>4.3008695724215249</v>
      </c>
      <c r="AI8" s="25">
        <f>AD8</f>
        <v>4.3008695724215249</v>
      </c>
      <c r="AJ8" s="133" t="s">
        <v>37</v>
      </c>
      <c r="AK8" s="107">
        <f>IF($AK$2="5L600",$AK$3,IF($AK$2="5L300",$AK$3*0.276,IF($AK$2="5L400",$AK$3*0.399,IF($AK$2="5L500",$AK$3/0.4261,IF($AK$2="5L200",$AK$3*0.536,IF($AK$2="5L700",$AK$3*0.48889))))))</f>
        <v>12.5</v>
      </c>
      <c r="AL8" s="107" t="s">
        <v>97</v>
      </c>
      <c r="AM8" s="107">
        <f>IF($AK$2="5L600",$AM$3,IF($AK$2="5L300",$AM$3*0.276,IF($AK$2="5L400",$AM$3*0.399,IF($AK$2="5L500",$AM$3/0.4261,IF($AK$2="5L200",$AM$3*0.536,IF($AK$2="5L700",$AM$3*0.48889))))))</f>
        <v>75</v>
      </c>
      <c r="AN8" s="135" t="s">
        <v>17</v>
      </c>
      <c r="AO8" s="3"/>
    </row>
    <row r="9" spans="1:41" ht="15" customHeight="1" thickBot="1" x14ac:dyDescent="0.2">
      <c r="A9" s="49"/>
      <c r="B9" s="3"/>
      <c r="C9" s="3"/>
      <c r="D9" s="34"/>
      <c r="E9" s="34"/>
      <c r="F9" s="34"/>
      <c r="H9" s="43"/>
      <c r="I9" s="42" t="s">
        <v>76</v>
      </c>
      <c r="J9" s="44" t="s">
        <v>32</v>
      </c>
      <c r="K9" s="44" t="s">
        <v>14</v>
      </c>
      <c r="L9" s="44" t="s">
        <v>33</v>
      </c>
      <c r="M9" s="44" t="s">
        <v>34</v>
      </c>
      <c r="N9" s="44" t="s">
        <v>35</v>
      </c>
      <c r="O9" s="51" t="s">
        <v>92</v>
      </c>
      <c r="P9" s="2"/>
      <c r="Q9" s="2"/>
      <c r="R9" s="2"/>
      <c r="S9" s="2"/>
      <c r="T9" s="2"/>
      <c r="U9" s="2"/>
      <c r="V9" s="2"/>
      <c r="W9" s="2"/>
      <c r="X9" s="20"/>
      <c r="Y9" s="20"/>
      <c r="Z9" s="20"/>
      <c r="AA9" s="22" t="s">
        <v>29</v>
      </c>
      <c r="AB9" s="19"/>
      <c r="AC9" s="23"/>
      <c r="AD9" s="26" t="e">
        <f>ASIN(J1/(SQRT(D3*D3+(D5+D4)*(D5+D4))*1000)/(2*PI())*360)*60</f>
        <v>#VALUE!</v>
      </c>
      <c r="AE9" s="22" t="s">
        <v>30</v>
      </c>
      <c r="AF9" s="26" t="e">
        <f>AD9</f>
        <v>#VALUE!</v>
      </c>
      <c r="AG9" s="27" t="e">
        <f>AD9</f>
        <v>#VALUE!</v>
      </c>
      <c r="AH9" s="27" t="str">
        <f>AE9</f>
        <v>'</v>
      </c>
      <c r="AI9" s="27" t="e">
        <f>AF9</f>
        <v>#VALUE!</v>
      </c>
      <c r="AJ9" s="58" t="s">
        <v>93</v>
      </c>
      <c r="AK9" s="134">
        <f>IF($AK$2="5L700",$AK$3,IF($AK$2="5L300",$AK$3/1.774,IF($AK$2="5L400",$AK$3/1.226,IF($AK$2="5L500",$AK$3/0.209,IF($AK$2="5L200",$AK$3/0.913,IF($AK$2="5L600",$AK$3/0.491))))))</f>
        <v>25.45824847250509</v>
      </c>
      <c r="AL9" s="107" t="s">
        <v>97</v>
      </c>
      <c r="AM9" s="134">
        <f>IF($AK$2="5L700",$AM$3,IF($AK$2="5L300",$AM$3/1.774,IF($AK$2="5L400",$AM$3/1.226,IF($AK$2="5L500",$AM$3/0.209,IF($AK$2="5L200",$AM$3/0.913,IF($AK$2="5L600",$AM$3/0.491))))))</f>
        <v>152.74949083503054</v>
      </c>
      <c r="AN9" s="59" t="s">
        <v>17</v>
      </c>
      <c r="AO9" s="3"/>
    </row>
    <row r="10" spans="1:41" ht="15" customHeight="1" thickTop="1" thickBot="1" x14ac:dyDescent="0.2">
      <c r="A10" s="129" t="s">
        <v>81</v>
      </c>
      <c r="B10" s="3"/>
      <c r="C10" s="132" t="s">
        <v>38</v>
      </c>
      <c r="D10" s="124"/>
      <c r="E10" s="124"/>
      <c r="F10" s="124"/>
      <c r="G10" s="124"/>
      <c r="H10" s="121" t="s">
        <v>77</v>
      </c>
      <c r="I10" s="69" t="s">
        <v>17</v>
      </c>
      <c r="J10" s="70">
        <f>J7/2/TAN(AD8*PI()*2/360/2)</f>
        <v>279.72119167419811</v>
      </c>
      <c r="K10" s="70">
        <f>J6/2/TAN(AF8*PI()*2/360/2)</f>
        <v>532.62599601407737</v>
      </c>
      <c r="L10" s="70">
        <f>J5/2/TAN(AD8*PI()*2/360/2)</f>
        <v>375.94528161012227</v>
      </c>
      <c r="M10" s="71">
        <f>J4/2/TAN(AG8*PI()*2/360/2)</f>
        <v>63.915119521689292</v>
      </c>
      <c r="N10" s="70">
        <f>J3/2/TAN(AH8*PI()*2/360/2)</f>
        <v>149.98748047756419</v>
      </c>
      <c r="O10" s="72">
        <f>J2/2/TAN(AH8*PI()*2/360/2)</f>
        <v>306.79257370410858</v>
      </c>
      <c r="P10" s="19"/>
      <c r="Q10" s="19"/>
      <c r="R10" s="19"/>
      <c r="S10" s="20"/>
      <c r="T10" s="20"/>
      <c r="U10" s="29">
        <v>2</v>
      </c>
      <c r="V10" s="19"/>
      <c r="W10" s="29">
        <v>1</v>
      </c>
      <c r="X10" s="19"/>
      <c r="Y10" s="29">
        <v>0.5</v>
      </c>
      <c r="Z10" s="19"/>
      <c r="AA10" s="22" t="s">
        <v>36</v>
      </c>
      <c r="AB10" s="19"/>
      <c r="AC10" s="23"/>
      <c r="AD10" s="24">
        <f>SQRT((D3-1)*(D3-1)+(D4+D5/2)*(D4+D5/2))</f>
        <v>92.962357973536797</v>
      </c>
      <c r="AE10" s="22" t="s">
        <v>16</v>
      </c>
      <c r="AF10" s="24">
        <f>AD10</f>
        <v>92.962357973536797</v>
      </c>
      <c r="AG10" s="25">
        <f>AD10</f>
        <v>92.962357973536797</v>
      </c>
      <c r="AH10" s="25" t="str">
        <f>AE10</f>
        <v>m</v>
      </c>
      <c r="AI10" s="25">
        <f>AF10</f>
        <v>92.962357973536797</v>
      </c>
      <c r="AJ10" s="20"/>
      <c r="AK10" s="20"/>
      <c r="AL10" s="20"/>
      <c r="AM10" s="20"/>
      <c r="AN10" s="20"/>
      <c r="AO10" s="3"/>
    </row>
    <row r="11" spans="1:41" ht="15" customHeight="1" thickTop="1" thickBot="1" x14ac:dyDescent="0.2">
      <c r="A11" s="129"/>
      <c r="B11" s="3"/>
      <c r="C11" s="132" t="s">
        <v>38</v>
      </c>
      <c r="H11" s="122" t="s">
        <v>78</v>
      </c>
      <c r="I11" s="73" t="s">
        <v>41</v>
      </c>
      <c r="J11" s="74">
        <f>AD12+(AD11-AD12)*0.5</f>
        <v>3182.766540306663</v>
      </c>
      <c r="K11" s="74">
        <f>AF12+(AF11-AF12)*0.5</f>
        <v>4736.259732599201</v>
      </c>
      <c r="L11" s="74">
        <f>((AD12+(AD11-AD12)*0.5))</f>
        <v>3182.766540306663</v>
      </c>
      <c r="M11" s="74">
        <f>AG12+(AG11-AG12)*0.5</f>
        <v>3031.2062288634888</v>
      </c>
      <c r="N11" s="74">
        <f>AH12+(AH11-AH12)*0.5</f>
        <v>4849.9299661815821</v>
      </c>
      <c r="O11" s="75">
        <f>AC26+(AC25-AC26)*0.5</f>
        <v>12124.824915453955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9" t="s">
        <v>39</v>
      </c>
      <c r="AB11" s="19"/>
      <c r="AC11" s="19"/>
      <c r="AD11" s="28">
        <f>$N$5*(ATAN($D$4/($D$3-$D$6))-ATAN($D$4/$D$3))*$M$5/$D$6/(ATAN(($D$4+$D$5)/($D$3-$D$6))-ATAN($D$4/$D$3))</f>
        <v>3535.68486622503</v>
      </c>
      <c r="AE11" s="19" t="s">
        <v>40</v>
      </c>
      <c r="AF11" s="28">
        <f>$N$5*(ATAN($D$4/($D$3-$D$6))-ATAN($D$4/$D$3))*$M$6/$D$6/(ATAN(($D$4+$D$5)/($D$3-$D$6))-ATAN($D$4/$D$3))</f>
        <v>5261.4358128348649</v>
      </c>
      <c r="AG11" s="28">
        <f>$N$5*(ATAN($D$4/($D$3-$D$6))-ATAN($D$4/$D$3))*$M$4/$D$6/(ATAN(($D$4+$D$5)/($D$3-$D$6))-ATAN($D$4/$D$3))</f>
        <v>3367.3189202143139</v>
      </c>
      <c r="AH11" s="28">
        <f>$N$5*(ATAN($D$4/($D$3-$D$6))-ATAN($D$4/$D$3))*$M$3/$D$6/(ATAN(($D$4+$D$5)/($D$3-$D$6))-ATAN($D$4/$D$3))</f>
        <v>5387.7102723429025</v>
      </c>
      <c r="AI11" s="28">
        <f>$N$5*(ATAN($D$4/($D$3-$D$6))-ATAN($D$4/$D$3))*$M$2/$D$6/(ATAN(($D$4+$D$5)/($D$3-$D$6))-ATAN($D$4/$D$3))</f>
        <v>13469.275680857256</v>
      </c>
      <c r="AJ11" s="154" t="s">
        <v>86</v>
      </c>
      <c r="AK11" s="159">
        <v>2.5</v>
      </c>
      <c r="AL11" s="155" t="s">
        <v>16</v>
      </c>
      <c r="AO11" s="3"/>
    </row>
    <row r="12" spans="1:41" ht="14.25" customHeight="1" thickBot="1" x14ac:dyDescent="0.2">
      <c r="A12" s="129"/>
      <c r="B12" s="3"/>
      <c r="C12" s="132" t="s">
        <v>38</v>
      </c>
      <c r="D12" s="124"/>
      <c r="E12" s="124"/>
      <c r="F12" s="124"/>
      <c r="G12" s="124"/>
      <c r="H12" s="121" t="s">
        <v>79</v>
      </c>
      <c r="I12" s="76" t="s">
        <v>56</v>
      </c>
      <c r="J12" s="77">
        <f>AK14*M7</f>
        <v>365.81455770197624</v>
      </c>
      <c r="K12" s="78">
        <f>AK14*M6</f>
        <v>731.62911540395248</v>
      </c>
      <c r="L12" s="77">
        <f>AK14*M5</f>
        <v>491.65476555145608</v>
      </c>
      <c r="M12" s="78">
        <f>AK14*M4</f>
        <v>468.24263385852959</v>
      </c>
      <c r="N12" s="81">
        <f>M3*AK14</f>
        <v>749.18821417364734</v>
      </c>
      <c r="O12" s="79">
        <f>M2*AK14</f>
        <v>1872.9705354341183</v>
      </c>
      <c r="P12" s="19" t="s">
        <v>45</v>
      </c>
      <c r="Q12" s="19"/>
      <c r="R12" s="19"/>
      <c r="S12" s="28">
        <f>(PI()/2-ATAN((D3-D6)/(D4+D5))-ATAN(D4/D3))*360/(2*PI())</f>
        <v>4.3008695724215249</v>
      </c>
      <c r="T12" s="28">
        <f>S12</f>
        <v>4.3008695724215249</v>
      </c>
      <c r="U12" s="19" t="s">
        <v>10</v>
      </c>
      <c r="V12" s="19" t="s">
        <v>46</v>
      </c>
      <c r="W12" s="19" t="s">
        <v>10</v>
      </c>
      <c r="X12" s="19" t="s">
        <v>46</v>
      </c>
      <c r="Y12" s="19" t="s">
        <v>10</v>
      </c>
      <c r="Z12" s="19" t="s">
        <v>46</v>
      </c>
      <c r="AA12" s="19" t="s">
        <v>42</v>
      </c>
      <c r="AB12" s="19"/>
      <c r="AC12" s="19"/>
      <c r="AD12" s="28">
        <f>$N$5*(ATAN($D$3/($D$4+$D$5))-ATAN(($D$3-$D$6)/($D$4+$D$5)))*$M$5/$D$6/(PI()/2-ATAN(($D$3-$D$6)/($D$4+$D$5))-ATAN($D$4/$D$3))</f>
        <v>2829.8482143882966</v>
      </c>
      <c r="AE12" s="19" t="s">
        <v>40</v>
      </c>
      <c r="AF12" s="28">
        <f>$N$5*(ATAN($D$3/($D$4+$D$5))-ATAN(($D$3-$D$6)/($D$4+$D$5)))*$M$6/$D$6/(PI()/2-ATAN(($D$3-$D$6)/($D$4+$D$5))-ATAN($D$4/$D$3))</f>
        <v>4211.0836523635371</v>
      </c>
      <c r="AG12" s="28">
        <f>$N$5*(ATAN($D$3/($D$4+$D$5))-ATAN(($D$3-$D$6)/($D$4+$D$5)))*$M$4/$D$6/(PI()/2-ATAN(($D$3-$D$6)/($D$4+$D$5))-ATAN($D$4/$D$3))</f>
        <v>2695.0935375126633</v>
      </c>
      <c r="AH12" s="28">
        <f>$N$5*(ATAN($D$3/($D$4+$D$5))-ATAN(($D$3-$D$6)/($D$4+$D$5)))*$M$3/$D$6/(PI()/2-ATAN(($D$3-$D$6)/($D$4+$D$5))-ATAN($D$4/$D$3))</f>
        <v>4312.1496600202618</v>
      </c>
      <c r="AI12" s="28">
        <f>$N$5*(ATAN($D$3/($D$4+$D$5))-ATAN(($D$3-$D$6)/($D$4+$D$5)))*$M$2/$D$6/(PI()/2-ATAN(($D$3-$D$6)/($D$4+$D$5))-ATAN($D$4/$D$3))</f>
        <v>10780.374150050653</v>
      </c>
      <c r="AJ12" s="158" t="s">
        <v>94</v>
      </c>
      <c r="AK12" s="160">
        <v>0.5</v>
      </c>
      <c r="AL12" s="156" t="s">
        <v>96</v>
      </c>
      <c r="AO12" s="3"/>
    </row>
    <row r="13" spans="1:41" ht="13" customHeight="1" thickTop="1" x14ac:dyDescent="0.15">
      <c r="A13" s="129"/>
      <c r="B13" s="3"/>
      <c r="C13" s="132" t="s">
        <v>38</v>
      </c>
      <c r="H13" s="122" t="s">
        <v>80</v>
      </c>
      <c r="I13" s="82" t="s">
        <v>57</v>
      </c>
      <c r="J13" s="83">
        <f>J11*M7/1000000</f>
        <v>3.182766540306663</v>
      </c>
      <c r="K13" s="84">
        <f>K11*M6/1000000</f>
        <v>9.4725194651984008</v>
      </c>
      <c r="L13" s="84">
        <f>L11*M5/1000000</f>
        <v>4.2776382301721556</v>
      </c>
      <c r="M13" s="84">
        <f>M11*M4/1000000</f>
        <v>3.8799439729452656</v>
      </c>
      <c r="N13" s="84">
        <f>N11*M3/1000000</f>
        <v>9.93265657073988</v>
      </c>
      <c r="O13" s="85">
        <f>O11*M2/1000000</f>
        <v>62.07910356712425</v>
      </c>
      <c r="P13" s="19" t="s">
        <v>47</v>
      </c>
      <c r="Q13" s="19"/>
      <c r="R13" s="19"/>
      <c r="S13" s="30">
        <f>(ATAN(D3/(D4+D5))-ATAN((D3-D6)/(D4+D5)))*360/(2*PI())</f>
        <v>1.3583491160529026</v>
      </c>
      <c r="T13" s="30">
        <f>S13</f>
        <v>1.3583491160529026</v>
      </c>
      <c r="U13" s="19">
        <v>100</v>
      </c>
      <c r="V13" s="19">
        <v>3623</v>
      </c>
      <c r="W13" s="19"/>
      <c r="X13" s="19"/>
      <c r="Y13" s="19"/>
      <c r="Z13" s="19"/>
      <c r="AA13" s="16"/>
      <c r="AB13" s="16"/>
      <c r="AC13" s="16"/>
      <c r="AD13" s="16"/>
      <c r="AE13" s="16"/>
      <c r="AF13" s="16"/>
      <c r="AG13" s="16"/>
      <c r="AH13" s="16"/>
      <c r="AI13" s="16"/>
      <c r="AJ13" s="142" t="s">
        <v>87</v>
      </c>
      <c r="AK13" s="157">
        <f>(D4)+(D5*AK12)</f>
        <v>91</v>
      </c>
      <c r="AL13" s="143" t="s">
        <v>16</v>
      </c>
      <c r="AO13" s="3"/>
    </row>
    <row r="14" spans="1:41" ht="13" customHeight="1" thickBot="1" x14ac:dyDescent="0.2">
      <c r="A14" s="129"/>
      <c r="B14" s="3"/>
      <c r="C14" s="132" t="s">
        <v>38</v>
      </c>
      <c r="D14" s="124"/>
      <c r="E14" s="124"/>
      <c r="F14" s="124"/>
      <c r="G14" s="124"/>
      <c r="H14" s="121" t="s">
        <v>89</v>
      </c>
      <c r="I14" s="80" t="s">
        <v>58</v>
      </c>
      <c r="J14" s="138">
        <f>(1/J11)*1000</f>
        <v>0.31419206760406904</v>
      </c>
      <c r="K14" s="138">
        <f>(1/K11)*1000</f>
        <v>0.2111370694299344</v>
      </c>
      <c r="L14" s="138">
        <f>(1/L11)*1000</f>
        <v>0.31419206760406904</v>
      </c>
      <c r="M14" s="138">
        <f>(1/M11)*1000</f>
        <v>0.32990167098427242</v>
      </c>
      <c r="N14" s="138">
        <f>(1/N11)*1000</f>
        <v>0.20618854436517028</v>
      </c>
      <c r="O14" s="139">
        <f>(1/O11)*1000</f>
        <v>8.2475417746068105E-2</v>
      </c>
      <c r="P14" s="19" t="s">
        <v>48</v>
      </c>
      <c r="Q14" s="19"/>
      <c r="R14" s="19"/>
      <c r="S14" s="31">
        <f>S13/S12</f>
        <v>0.31583127392726523</v>
      </c>
      <c r="T14" s="31">
        <f>S14</f>
        <v>0.31583127392726523</v>
      </c>
      <c r="U14" s="19">
        <f t="shared" ref="U14:U30" si="0">U13+100</f>
        <v>200</v>
      </c>
      <c r="V14" s="19">
        <v>3333</v>
      </c>
      <c r="W14" s="19">
        <v>100</v>
      </c>
      <c r="X14" s="19">
        <v>3856</v>
      </c>
      <c r="Y14" s="19"/>
      <c r="Z14" s="19"/>
      <c r="AA14" s="16"/>
      <c r="AB14" s="16"/>
      <c r="AC14" s="16"/>
      <c r="AD14" s="16"/>
      <c r="AE14" s="16"/>
      <c r="AF14" s="16"/>
      <c r="AG14" s="16"/>
      <c r="AH14" s="16"/>
      <c r="AI14" s="16"/>
      <c r="AJ14" s="144" t="s">
        <v>88</v>
      </c>
      <c r="AK14" s="145">
        <f>(((AK11/(AK13))*N10)/J3)</f>
        <v>0.36581455770197624</v>
      </c>
      <c r="AL14" s="146" t="s">
        <v>96</v>
      </c>
      <c r="AO14" s="3"/>
    </row>
    <row r="15" spans="1:41" ht="15" customHeight="1" thickTop="1" x14ac:dyDescent="0.15">
      <c r="A15" s="129"/>
      <c r="B15" s="3"/>
      <c r="C15" s="132" t="s">
        <v>95</v>
      </c>
      <c r="O15" s="136"/>
      <c r="P15" s="19" t="s">
        <v>49</v>
      </c>
      <c r="Q15" s="19"/>
      <c r="R15" s="19"/>
      <c r="S15" s="28">
        <f>S14*M5</f>
        <v>424.47723215824448</v>
      </c>
      <c r="T15" s="28">
        <f>T14*M6</f>
        <v>631.66254785453043</v>
      </c>
      <c r="U15" s="19">
        <f t="shared" si="0"/>
        <v>300</v>
      </c>
      <c r="V15" s="19">
        <v>3067</v>
      </c>
      <c r="W15" s="19"/>
      <c r="X15" s="19"/>
      <c r="Y15" s="19"/>
      <c r="Z15" s="19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3"/>
    </row>
    <row r="16" spans="1:41" ht="23" customHeight="1" x14ac:dyDescent="0.15">
      <c r="A16" s="129"/>
      <c r="B16" s="3"/>
      <c r="C16" s="132" t="s">
        <v>38</v>
      </c>
      <c r="D16" s="32"/>
      <c r="E16" s="32"/>
      <c r="F16" s="32"/>
      <c r="G16" s="32"/>
      <c r="H16" s="32"/>
      <c r="I16" s="32"/>
      <c r="J16" s="32"/>
      <c r="K16" s="105" t="s">
        <v>50</v>
      </c>
      <c r="L16" s="16"/>
      <c r="M16" s="17"/>
      <c r="N16" s="16"/>
      <c r="O16" s="52"/>
      <c r="P16" s="19" t="s">
        <v>51</v>
      </c>
      <c r="Q16" s="19"/>
      <c r="R16" s="19"/>
      <c r="S16" s="28">
        <f>D6/S15*1000</f>
        <v>5.8895973932189696</v>
      </c>
      <c r="T16" s="28">
        <f>D6/T15*1000</f>
        <v>3.9578094482431481</v>
      </c>
      <c r="U16" s="19">
        <f t="shared" si="0"/>
        <v>400</v>
      </c>
      <c r="V16" s="19">
        <v>2857</v>
      </c>
      <c r="W16" s="19">
        <f>W14+100</f>
        <v>200</v>
      </c>
      <c r="X16" s="19">
        <v>3631</v>
      </c>
      <c r="Y16" s="19">
        <v>100</v>
      </c>
      <c r="Z16" s="19">
        <v>3614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3"/>
    </row>
    <row r="17" spans="1:41" ht="14.25" customHeight="1" x14ac:dyDescent="0.15">
      <c r="A17" s="129"/>
      <c r="B17" s="3"/>
      <c r="C17" s="132" t="s">
        <v>38</v>
      </c>
      <c r="D17" s="32" t="s">
        <v>82</v>
      </c>
      <c r="E17" s="32"/>
      <c r="H17" s="32"/>
      <c r="I17" s="89" t="s">
        <v>83</v>
      </c>
      <c r="J17" s="33"/>
      <c r="K17" s="105" t="s">
        <v>38</v>
      </c>
      <c r="L17" s="16"/>
      <c r="M17" s="17"/>
      <c r="N17" s="16"/>
      <c r="O17" s="52"/>
      <c r="P17" s="19" t="s">
        <v>52</v>
      </c>
      <c r="Q17" s="19"/>
      <c r="R17" s="19"/>
      <c r="S17" s="28">
        <f>$N$5*(ATAN($D$3/($D$4+$D$5))-ATAN(($D$3-$D$6)/($D$4+$D$5)))*$M$5/$D$6/(PI()/2-ATAN(($D$3-$D$6)/($D$4+$D$5))-ATAN($D$4/$D$3))</f>
        <v>2829.8482143882966</v>
      </c>
      <c r="T17" s="28">
        <f>$N$5*(ATAN($D$3/($D$4+$D$5))-ATAN(($D$3-$D$6)/($D$4+$D$5)))*$M$6/$D$6/(PI()/2-ATAN(($D$3-$D$6)/($D$4+$D$5))-ATAN($D$4/$D$3))</f>
        <v>4211.0836523635371</v>
      </c>
      <c r="U17" s="19">
        <f t="shared" si="0"/>
        <v>500</v>
      </c>
      <c r="V17" s="19">
        <v>2659</v>
      </c>
      <c r="W17" s="19"/>
      <c r="X17" s="19"/>
      <c r="Y17" s="19"/>
      <c r="Z17" s="19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3"/>
    </row>
    <row r="18" spans="1:41" ht="14.25" customHeight="1" x14ac:dyDescent="0.15">
      <c r="A18" s="49"/>
      <c r="B18" s="3"/>
      <c r="C18" s="90" t="s">
        <v>61</v>
      </c>
      <c r="D18" s="91" t="s">
        <v>53</v>
      </c>
      <c r="E18" s="91"/>
      <c r="F18" s="91" t="s">
        <v>62</v>
      </c>
      <c r="G18" s="91" t="s">
        <v>53</v>
      </c>
      <c r="H18" s="91" t="s">
        <v>53</v>
      </c>
      <c r="I18" s="92" t="s">
        <v>60</v>
      </c>
      <c r="J18" s="93" t="s">
        <v>63</v>
      </c>
      <c r="K18" s="90" t="s">
        <v>54</v>
      </c>
      <c r="L18" s="16"/>
      <c r="M18" s="17"/>
      <c r="N18" s="16"/>
      <c r="O18" s="52"/>
      <c r="P18" s="19"/>
      <c r="Q18" s="19"/>
      <c r="R18" s="19"/>
      <c r="S18" s="19"/>
      <c r="T18" s="19"/>
      <c r="U18" s="19">
        <f t="shared" si="0"/>
        <v>600</v>
      </c>
      <c r="V18" s="19">
        <v>2500</v>
      </c>
      <c r="W18" s="19">
        <f>W16+100</f>
        <v>300</v>
      </c>
      <c r="X18" s="19">
        <v>3416</v>
      </c>
      <c r="Y18" s="19"/>
      <c r="Z18" s="19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3"/>
    </row>
    <row r="19" spans="1:41" ht="12" customHeight="1" thickBot="1" x14ac:dyDescent="0.2">
      <c r="A19" s="53"/>
      <c r="B19" s="54"/>
      <c r="C19" s="94"/>
      <c r="D19" s="95"/>
      <c r="E19" s="95"/>
      <c r="F19" s="127"/>
      <c r="G19" s="127"/>
      <c r="H19" s="127"/>
      <c r="I19" s="97"/>
      <c r="J19" s="96"/>
      <c r="K19" s="94"/>
      <c r="L19" s="55"/>
      <c r="M19" s="56"/>
      <c r="N19" s="55"/>
      <c r="O19" s="57"/>
      <c r="P19" s="19" t="s">
        <v>45</v>
      </c>
      <c r="Q19" s="19"/>
      <c r="R19" s="19"/>
      <c r="S19" s="28">
        <f>(PI()/2-ATAN((D3-D6)/(D4+D5))-ATAN(D4/D3))*360/(2*PI())</f>
        <v>4.3008695724215249</v>
      </c>
      <c r="T19" s="28">
        <f>S19</f>
        <v>4.3008695724215249</v>
      </c>
      <c r="U19" s="19">
        <f t="shared" si="0"/>
        <v>700</v>
      </c>
      <c r="V19" s="19">
        <v>2347</v>
      </c>
      <c r="W19" s="19"/>
      <c r="X19" s="19"/>
      <c r="Y19" s="19"/>
      <c r="Z19" s="19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3"/>
    </row>
    <row r="20" spans="1:41" ht="6.75" customHeight="1" thickTop="1" x14ac:dyDescent="0.15">
      <c r="L20" s="16"/>
      <c r="M20" s="17"/>
      <c r="N20" s="16"/>
      <c r="O20" s="1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1" s="3" customFormat="1" ht="20.25" customHeight="1" x14ac:dyDescent="0.15">
      <c r="F21" s="65"/>
      <c r="L21" s="34"/>
      <c r="M21" s="21"/>
      <c r="N21" s="16"/>
      <c r="O21" s="109"/>
      <c r="P21" s="128" t="s">
        <v>43</v>
      </c>
      <c r="Q21" s="128"/>
      <c r="R21" s="128"/>
      <c r="S21" s="67">
        <f>(ATAN(D3/D4)*360/PI()/2)-(AD8/2)</f>
        <v>11.885808681715714</v>
      </c>
      <c r="T21" s="68" t="s">
        <v>44</v>
      </c>
      <c r="U21" s="6"/>
      <c r="V21" s="6"/>
      <c r="W21" s="6"/>
      <c r="X21" s="6"/>
      <c r="Y21" s="6"/>
      <c r="Z21" s="6"/>
    </row>
    <row r="22" spans="1:41" s="3" customFormat="1" ht="20.25" customHeight="1" x14ac:dyDescent="0.15">
      <c r="L22" s="4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41" s="3" customFormat="1" ht="16" customHeight="1" x14ac:dyDescent="0.15">
      <c r="L23" s="4"/>
      <c r="M23" s="5"/>
      <c r="P23" s="7" t="s">
        <v>55</v>
      </c>
      <c r="Q23" s="7"/>
      <c r="R23" s="7"/>
      <c r="S23" s="8">
        <f>(ATAN(D4/(D3-D6))-ATAN(D4/D3))*360/(2*PI())</f>
        <v>1.6971561896002789</v>
      </c>
      <c r="T23" s="9">
        <f>S23</f>
        <v>1.6971561896002789</v>
      </c>
      <c r="U23" s="10">
        <f>U19+100</f>
        <v>800</v>
      </c>
      <c r="V23" s="10">
        <v>2222</v>
      </c>
      <c r="W23" s="10">
        <f>W18+100</f>
        <v>400</v>
      </c>
      <c r="X23" s="10">
        <v>3239</v>
      </c>
      <c r="Y23" s="10">
        <v>200</v>
      </c>
      <c r="Z23" s="10">
        <v>3239</v>
      </c>
      <c r="AC23" s="27" t="e">
        <f>AG9</f>
        <v>#VALUE!</v>
      </c>
    </row>
    <row r="24" spans="1:41" s="3" customFormat="1" ht="15" customHeight="1" x14ac:dyDescent="0.15">
      <c r="F24" s="60"/>
      <c r="G24" s="60"/>
      <c r="M24" s="5"/>
      <c r="P24" s="7" t="s">
        <v>48</v>
      </c>
      <c r="Q24" s="7"/>
      <c r="R24" s="7"/>
      <c r="S24" s="11">
        <f>S23/S19</f>
        <v>0.39460768596261492</v>
      </c>
      <c r="T24" s="12">
        <f>S24</f>
        <v>0.39460768596261492</v>
      </c>
      <c r="U24" s="10">
        <f>U23+100</f>
        <v>900</v>
      </c>
      <c r="V24" s="10">
        <v>2100</v>
      </c>
      <c r="W24" s="10"/>
      <c r="X24" s="10"/>
      <c r="Y24" s="10"/>
      <c r="Z24" s="10"/>
      <c r="AC24" s="25">
        <f>AG10</f>
        <v>92.962357973536797</v>
      </c>
    </row>
    <row r="25" spans="1:41" s="3" customFormat="1" ht="13" customHeight="1" x14ac:dyDescent="0.15">
      <c r="A25" s="100"/>
      <c r="E25" s="60"/>
      <c r="F25" s="60"/>
      <c r="G25" s="60"/>
      <c r="P25" s="7" t="s">
        <v>49</v>
      </c>
      <c r="Q25" s="7"/>
      <c r="R25" s="7"/>
      <c r="S25" s="13">
        <f>S24*M5</f>
        <v>530.3527299337544</v>
      </c>
      <c r="T25" s="13">
        <f>T24*M6</f>
        <v>789.21537192522987</v>
      </c>
      <c r="U25" s="10">
        <f>U24+100</f>
        <v>1000</v>
      </c>
      <c r="V25" s="10">
        <v>2000</v>
      </c>
      <c r="W25" s="10">
        <f>W23+100</f>
        <v>500</v>
      </c>
      <c r="X25" s="10">
        <v>3067</v>
      </c>
      <c r="Y25" s="10"/>
      <c r="Z25" s="10"/>
      <c r="AC25" s="28">
        <f>$N$5*(ATAN($D$4/($D$3-$D$6))-ATAN($D$4/$D$3))*$M$2/$D$6/(ATAN(($D$4+$D$5)/($D$3-$D$6))-ATAN($D$4/$D$3))</f>
        <v>13469.275680857256</v>
      </c>
    </row>
    <row r="26" spans="1:41" s="3" customFormat="1" ht="12" customHeight="1" x14ac:dyDescent="0.15">
      <c r="C26" s="4"/>
      <c r="D26" s="4"/>
      <c r="E26" s="4"/>
      <c r="F26" s="4"/>
      <c r="G26" s="4"/>
      <c r="H26" s="4"/>
      <c r="I26" s="4"/>
      <c r="J26" s="4"/>
      <c r="K26" s="4"/>
      <c r="L26" s="4"/>
      <c r="M26" s="14"/>
      <c r="N26" s="4"/>
      <c r="O26" s="4"/>
      <c r="P26" s="10"/>
      <c r="Q26" s="10"/>
      <c r="R26" s="10"/>
      <c r="S26" s="6"/>
      <c r="T26" s="6"/>
      <c r="U26" s="10" t="e">
        <f>#REF!+100</f>
        <v>#REF!</v>
      </c>
      <c r="V26" s="10">
        <v>1250</v>
      </c>
      <c r="W26" s="10" t="e">
        <f>#REF!+100</f>
        <v>#REF!</v>
      </c>
      <c r="X26" s="10">
        <v>2347</v>
      </c>
      <c r="Y26" s="10"/>
      <c r="Z26" s="10"/>
      <c r="AC26" s="28">
        <f>$N$5*(ATAN($D$3/($D$4+$D$5))-ATAN(($D$3-$D$6)/($D$4+$D$5)))*$M$2/$D$6/(PI()/2-ATAN(($D$3-$D$6)/($D$4+$D$5))-ATAN($D$4/$D$3))</f>
        <v>10780.374150050653</v>
      </c>
    </row>
    <row r="27" spans="1:41" s="3" customFormat="1" ht="12" customHeight="1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  <c r="N27" s="4"/>
      <c r="O27" s="4"/>
      <c r="P27" s="10"/>
      <c r="Q27" s="10"/>
      <c r="R27" s="10"/>
      <c r="S27" s="6"/>
      <c r="T27" s="6"/>
      <c r="U27" s="10" t="e">
        <f t="shared" si="0"/>
        <v>#REF!</v>
      </c>
      <c r="V27" s="10">
        <v>1210</v>
      </c>
      <c r="W27" s="10"/>
      <c r="X27" s="10"/>
      <c r="Y27" s="10"/>
      <c r="Z27" s="10"/>
    </row>
    <row r="28" spans="1:41" s="3" customFormat="1" ht="12" customHeigh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  <c r="N28" s="4"/>
      <c r="O28" s="4"/>
      <c r="P28" s="10"/>
      <c r="Q28" s="10"/>
      <c r="R28" s="10"/>
      <c r="S28" s="6"/>
      <c r="T28" s="6"/>
      <c r="U28" s="10" t="e">
        <f t="shared" si="0"/>
        <v>#REF!</v>
      </c>
      <c r="V28" s="10">
        <v>1176</v>
      </c>
      <c r="W28" s="10" t="e">
        <f>W26+100</f>
        <v>#REF!</v>
      </c>
      <c r="X28" s="10">
        <v>2262</v>
      </c>
      <c r="Y28" s="10">
        <v>600</v>
      </c>
      <c r="Z28" s="10">
        <v>2262</v>
      </c>
    </row>
    <row r="29" spans="1:41" s="3" customFormat="1" ht="12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  <c r="N29" s="4"/>
      <c r="O29" s="4"/>
      <c r="P29" s="10"/>
      <c r="Q29" s="10"/>
      <c r="R29" s="10"/>
      <c r="S29" s="6"/>
      <c r="T29" s="6"/>
      <c r="U29" s="10" t="e">
        <f t="shared" si="0"/>
        <v>#REF!</v>
      </c>
      <c r="V29" s="10">
        <v>1141</v>
      </c>
      <c r="W29" s="10"/>
      <c r="X29" s="10"/>
      <c r="Y29" s="10"/>
      <c r="Z29" s="10"/>
    </row>
    <row r="30" spans="1:41" s="3" customFormat="1" ht="12" customHeigh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5"/>
      <c r="N30" s="4"/>
      <c r="O30" s="4"/>
      <c r="P30" s="10"/>
      <c r="Q30" s="10"/>
      <c r="R30" s="10"/>
      <c r="S30" s="6"/>
      <c r="T30" s="6"/>
      <c r="U30" s="10" t="e">
        <f t="shared" si="0"/>
        <v>#REF!</v>
      </c>
      <c r="V30" s="10">
        <v>1111</v>
      </c>
      <c r="W30" s="10" t="e">
        <f>W28+100</f>
        <v>#REF!</v>
      </c>
      <c r="X30" s="10">
        <v>2177</v>
      </c>
      <c r="Y30" s="10"/>
      <c r="Z30" s="10"/>
    </row>
    <row r="31" spans="1:41" s="3" customFormat="1" ht="13" customHeight="1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N31" s="4"/>
      <c r="O31" s="4"/>
      <c r="P31" s="10"/>
      <c r="Q31" s="10"/>
      <c r="R31" s="10"/>
      <c r="S31" s="6"/>
      <c r="T31" s="6"/>
      <c r="U31" s="10">
        <v>2696</v>
      </c>
      <c r="V31" s="10">
        <v>1082</v>
      </c>
      <c r="W31" s="10">
        <v>1344</v>
      </c>
      <c r="X31" s="10">
        <v>2145</v>
      </c>
      <c r="Y31" s="10">
        <v>672</v>
      </c>
      <c r="Z31" s="10">
        <v>2145</v>
      </c>
    </row>
  </sheetData>
  <sheetProtection algorithmName="SHA-512" hashValue="fAPeX9RGgCPEsvo7uGsmTrJG2Wc7sn+lC3zg8S6gBb/EF9IARRrl5CbEXJm8bbwWiaaC/qE6XQVySlmkW/Fv2Q==" saltValue="XzVyty7+0viH45sVVE4qUw==" spinCount="100000" sheet="1" selectLockedCells="1"/>
  <mergeCells count="10">
    <mergeCell ref="F2:I2"/>
    <mergeCell ref="F19:H19"/>
    <mergeCell ref="P21:R21"/>
    <mergeCell ref="A10:A17"/>
    <mergeCell ref="F3:I3"/>
    <mergeCell ref="F4:I4"/>
    <mergeCell ref="F5:I5"/>
    <mergeCell ref="F6:I6"/>
    <mergeCell ref="F7:I7"/>
    <mergeCell ref="A8:C8"/>
  </mergeCells>
  <phoneticPr fontId="36" type="noConversion"/>
  <dataValidations count="5">
    <dataValidation type="list" allowBlank="1" showInputMessage="1" showErrorMessage="1" promptTitle="TYPE DE CAMERA" sqref="AK2" xr:uid="{00000000-0002-0000-0000-000001000000}">
      <formula1>"5L200,5L300,5L400,5L500,5L600,5L700"</formula1>
    </dataValidation>
    <dataValidation type="list" allowBlank="1" showInputMessage="1" showErrorMessage="1" sqref="L7:L8" xr:uid="{00000000-0002-0000-0000-000002000000}">
      <formula1>"25,33,50,100"</formula1>
    </dataValidation>
    <dataValidation type="list" allowBlank="1" showInputMessage="1" showErrorMessage="1" sqref="L6" xr:uid="{00000000-0002-0000-0000-000003000000}">
      <formula1>"25,33,50,100,150,300"</formula1>
    </dataValidation>
    <dataValidation type="list" allowBlank="1" showInputMessage="1" showErrorMessage="1" sqref="L5 L2:L3" xr:uid="{00000000-0002-0000-0000-000004000000}">
      <formula1>"25,33,50,100,200"</formula1>
    </dataValidation>
    <dataValidation type="list" allowBlank="1" showInputMessage="1" showErrorMessage="1" sqref="L4" xr:uid="{00000000-0002-0000-0000-000005000000}">
      <formula1>"100,200"</formula1>
    </dataValidation>
  </dataValidations>
  <pageMargins left="0.7" right="0.7" top="0.75" bottom="0.75" header="0.5" footer="0.5"/>
  <pageSetup fitToHeight="0" orientation="portrait" useFirstPageNumber="1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Sheet1 - Table 1</vt:lpstr>
      <vt:lpstr>CameraModel</vt:lpstr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Lambert</dc:creator>
  <cp:keywords/>
  <dc:description/>
  <cp:lastModifiedBy>Paul Lambert</cp:lastModifiedBy>
  <cp:revision/>
  <dcterms:created xsi:type="dcterms:W3CDTF">2011-06-22T12:28:31Z</dcterms:created>
  <dcterms:modified xsi:type="dcterms:W3CDTF">2024-12-15T19:11:49Z</dcterms:modified>
  <cp:category/>
  <cp:contentStatus/>
</cp:coreProperties>
</file>